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kymsoffice.sharepoint.com/sites/EECDOWDWBAll/Shared Documents/Data Management/eMOR Project Files/Change Request7/"/>
    </mc:Choice>
  </mc:AlternateContent>
  <xr:revisionPtr revIDLastSave="0" documentId="10_ncr:200_{02033234-700D-4C85-BD4E-FA84552A6593}" xr6:coauthVersionLast="47" xr6:coauthVersionMax="47" xr10:uidLastSave="{00000000-0000-0000-0000-000000000000}"/>
  <workbookProtection workbookAlgorithmName="SHA-512" workbookHashValue="bd5Hg81e+x0MgzzzDCYSxRGMPQUWYZJius1JOOdcv3oIxewzbKE7Zdw8Ysl0TGzKx9NKJNSTl8STg4WShKg3Tg==" workbookSaltValue="ceexl18QJw6XXr4vDkMq6g==" workbookSpinCount="100000" lockStructure="1"/>
  <bookViews>
    <workbookView xWindow="-120" yWindow="-120" windowWidth="29040" windowHeight="15720" tabRatio="903" xr2:uid="{00000000-000D-0000-FFFF-FFFF00000000}"/>
  </bookViews>
  <sheets>
    <sheet name="Bookmarks" sheetId="43" r:id="rId1"/>
    <sheet name="CoverSheet " sheetId="15" r:id="rId2"/>
    <sheet name="P1 Chemicals" sheetId="3" r:id="rId3"/>
    <sheet name="P2 Water Quality" sheetId="7" r:id="rId4"/>
    <sheet name="P3 Turbidity" sheetId="16" r:id="rId5"/>
    <sheet name="P3A IF Turbidity Exc" sheetId="13" r:id="rId6"/>
    <sheet name="P4 Filters" sheetId="10" r:id="rId7"/>
    <sheet name="P5 Dis. Residual" sheetId="11" r:id="rId8"/>
    <sheet name="P6 ChlorineDioxide" sheetId="36" r:id="rId9"/>
    <sheet name="P7 Fluoride" sheetId="33" r:id="rId10"/>
    <sheet name="P8 LT2 Bin2" sheetId="34" r:id="rId11"/>
    <sheet name="P9 UV" sheetId="32" r:id="rId12"/>
    <sheet name="P10 Membrane Filt" sheetId="40" r:id="rId13"/>
    <sheet name="P11 Clarifiers" sheetId="37" r:id="rId14"/>
    <sheet name="P12 Water Loss" sheetId="41" r:id="rId15"/>
    <sheet name="Plant Summary Sheet" sheetId="19" r:id="rId16"/>
    <sheet name="Summary Sheet" sheetId="21" r:id="rId17"/>
    <sheet name="PurchaseSaleWorksheet" sheetId="35" r:id="rId18"/>
    <sheet name="Comments" sheetId="31" r:id="rId19"/>
    <sheet name="Annual Data " sheetId="30" r:id="rId20"/>
    <sheet name="Dropdowns" sheetId="39" state="hidden" r:id="rId21"/>
  </sheets>
  <definedNames>
    <definedName name="_xlnm._FilterDatabase" localSheetId="20" hidden="1">Dropdowns!$B$1:$I$1</definedName>
    <definedName name="AvgHours">'P1 Chemicals'!$C$40</definedName>
    <definedName name="Check11" localSheetId="10">'P8 LT2 Bin2'!$A$34</definedName>
    <definedName name="Check12" localSheetId="10">'P8 LT2 Bin2'!$B$36</definedName>
    <definedName name="Check13" localSheetId="10">'P8 LT2 Bin2'!$B$43</definedName>
    <definedName name="Check14" localSheetId="10">'P8 LT2 Bin2'!$B$45</definedName>
    <definedName name="Check3" localSheetId="10">'P8 LT2 Bin2'!#REF!</definedName>
    <definedName name="Check4" localSheetId="10">'P8 LT2 Bin2'!#REF!</definedName>
    <definedName name="Check5" localSheetId="10">'P8 LT2 Bin2'!#REF!</definedName>
    <definedName name="Check6" localSheetId="10">'P8 LT2 Bin2'!$D$7</definedName>
    <definedName name="MaxPump">'P1 Chemicals'!$D$41</definedName>
    <definedName name="MMYYYY">'CoverSheet '!$F$8</definedName>
    <definedName name="OperDays">'P1 Chemicals'!$I$41</definedName>
    <definedName name="_xlnm.Print_Area" localSheetId="19">'Annual Data '!$A$1:$M$50</definedName>
    <definedName name="_xlnm.Print_Area" localSheetId="0">Bookmarks!$B$1:$C$26</definedName>
    <definedName name="_xlnm.Print_Area" localSheetId="18">Comments!$A$1:$D$27</definedName>
    <definedName name="_xlnm.Print_Area" localSheetId="1">'CoverSheet '!$A$1:$L$43</definedName>
    <definedName name="_xlnm.Print_Area" localSheetId="2">'P1 Chemicals'!$A$1:$BA$41</definedName>
    <definedName name="_xlnm.Print_Area" localSheetId="12">'P10 Membrane Filt'!$A$1:$O$40</definedName>
    <definedName name="_xlnm.Print_Area" localSheetId="13">'P11 Clarifiers'!$A$1:$G$38</definedName>
    <definedName name="_xlnm.Print_Area" localSheetId="14">'P12 Water Loss'!$A$1:$AJ$37</definedName>
    <definedName name="_xlnm.Print_Area" localSheetId="3">'P2 Water Quality'!$A$1:$AB$42</definedName>
    <definedName name="_xlnm.Print_Area" localSheetId="4">'P3 Turbidity'!$A$1:$BD$40</definedName>
    <definedName name="_xlnm.Print_Area" localSheetId="5">'P3A IF Turbidity Exc'!$B$1:$G$36</definedName>
    <definedName name="_xlnm.Print_Area" localSheetId="6">'P4 Filters'!$A$1:$BJ$39</definedName>
    <definedName name="_xlnm.Print_Area" localSheetId="7">'P5 Dis. Residual'!$A$1:$R$43</definedName>
    <definedName name="_xlnm.Print_Area" localSheetId="8">'P6 ChlorineDioxide'!$A$1:$N$37</definedName>
    <definedName name="_xlnm.Print_Area" localSheetId="9">'P7 Fluoride'!$A$1:$K$44</definedName>
    <definedName name="_xlnm.Print_Area" localSheetId="10">'P8 LT2 Bin2'!$A$1:$G$42</definedName>
    <definedName name="_xlnm.Print_Area" localSheetId="11">'P9 UV'!$A$1:$D$41</definedName>
    <definedName name="_xlnm.Print_Area" localSheetId="15">'Plant Summary Sheet'!$B$1:$L$67</definedName>
    <definedName name="_xlnm.Print_Area" localSheetId="17">PurchaseSaleWorksheet!$A$1:$W$39</definedName>
    <definedName name="_xlnm.Print_Area" localSheetId="16">'Summary Sheet'!$A$1:$K$43</definedName>
    <definedName name="_xlnm.Print_Titles" localSheetId="2">'P1 Chemicals'!$A:$A,'P1 Chemicals'!$1:$1</definedName>
    <definedName name="_xlnm.Print_Titles" localSheetId="13">'P11 Clarifiers'!$A:$A,'P11 Clarifiers'!$1:$1</definedName>
    <definedName name="_xlnm.Print_Titles" localSheetId="3">'P2 Water Quality'!$A:$A,'P2 Water Quality'!$1:$1</definedName>
    <definedName name="_xlnm.Print_Titles" localSheetId="6">'P4 Filters'!$A:$A,'P4 Filters'!$1:$1</definedName>
    <definedName name="_xlnm.Print_Titles" localSheetId="9">'P7 Fluoride'!$A:$A,'P7 Fluoride'!$1:$1</definedName>
    <definedName name="PWSID">'CoverSheet '!$E$11</definedName>
    <definedName name="Text10" localSheetId="10">'P8 LT2 Bin2'!$B$17</definedName>
    <definedName name="Text11" localSheetId="10">'P8 LT2 Bin2'!$C$17</definedName>
    <definedName name="Text12" localSheetId="10">'P8 LT2 Bin2'!$D$17</definedName>
    <definedName name="Text13" localSheetId="10">'P8 LT2 Bin2'!$E$17</definedName>
    <definedName name="Text15" localSheetId="10">'P8 LT2 Bin2'!$G$17</definedName>
    <definedName name="Text16" localSheetId="10">'P8 LT2 Bin2'!$A$29</definedName>
    <definedName name="Text17" localSheetId="10">'P8 LT2 Bin2'!$G$36</definedName>
    <definedName name="Text18" localSheetId="10">'P8 LT2 Bin2'!#REF!</definedName>
    <definedName name="Text5" localSheetId="10">'P8 LT2 Bin2'!$B$7</definedName>
    <definedName name="Text6" localSheetId="10">'P8 LT2 Bin2'!$B$11</definedName>
    <definedName name="Text7" localSheetId="10">'P8 LT2 Bin2'!$B$9</definedName>
    <definedName name="Text9" localSheetId="10">'P8 LT2 Bin2'!$A$17</definedName>
    <definedName name="TotalHours">'P1 Chemicals'!$C$39</definedName>
    <definedName name="TotTreated">'P1 Chemicals'!$B$39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4" l="1"/>
  <c r="B34" i="10"/>
  <c r="F34" i="41" s="1"/>
  <c r="B35" i="10"/>
  <c r="F35" i="41" s="1"/>
  <c r="B33" i="10"/>
  <c r="F33" i="41" s="1"/>
  <c r="Z6" i="41"/>
  <c r="AE6" i="41" s="1"/>
  <c r="Z7" i="41"/>
  <c r="Z8" i="41"/>
  <c r="Z9" i="41"/>
  <c r="Z10" i="41"/>
  <c r="Z11" i="41"/>
  <c r="Z12" i="41"/>
  <c r="AE12" i="41" s="1"/>
  <c r="Z13" i="41"/>
  <c r="Z14" i="41"/>
  <c r="AE14" i="41" s="1"/>
  <c r="W14" i="41" s="1"/>
  <c r="Z15" i="41"/>
  <c r="Z16" i="41"/>
  <c r="Z17" i="41"/>
  <c r="Z18" i="41"/>
  <c r="Z19" i="41"/>
  <c r="Z20" i="41"/>
  <c r="AE20" i="41" s="1"/>
  <c r="Z21" i="41"/>
  <c r="Z22" i="41"/>
  <c r="AE22" i="41" s="1"/>
  <c r="W22" i="41" s="1"/>
  <c r="Z23" i="41"/>
  <c r="Z24" i="41"/>
  <c r="Z25" i="41"/>
  <c r="Z26" i="41"/>
  <c r="Z27" i="41"/>
  <c r="AE27" i="41" s="1"/>
  <c r="Z28" i="41"/>
  <c r="AE28" i="41" s="1"/>
  <c r="Z29" i="41"/>
  <c r="Z30" i="41"/>
  <c r="AE30" i="41" s="1"/>
  <c r="Z31" i="41"/>
  <c r="Z32" i="41"/>
  <c r="Z33" i="41"/>
  <c r="Z34" i="41"/>
  <c r="Z35" i="41"/>
  <c r="AE35" i="41" s="1"/>
  <c r="F6" i="41"/>
  <c r="G6" i="41"/>
  <c r="F7" i="41"/>
  <c r="G7" i="41"/>
  <c r="F8" i="41"/>
  <c r="G8" i="41"/>
  <c r="F9" i="41"/>
  <c r="G9" i="41"/>
  <c r="G36" i="41" s="1"/>
  <c r="F10" i="41"/>
  <c r="G10" i="41"/>
  <c r="F11" i="41"/>
  <c r="G11" i="41"/>
  <c r="F12" i="41"/>
  <c r="G12" i="41"/>
  <c r="F13" i="41"/>
  <c r="G13" i="41"/>
  <c r="F14" i="41"/>
  <c r="G14" i="41"/>
  <c r="F15" i="41"/>
  <c r="G15" i="41"/>
  <c r="F16" i="41"/>
  <c r="G16" i="41"/>
  <c r="F17" i="41"/>
  <c r="G17" i="41"/>
  <c r="F18" i="41"/>
  <c r="G18" i="41"/>
  <c r="F19" i="41"/>
  <c r="G19" i="41"/>
  <c r="F20" i="41"/>
  <c r="G20" i="41"/>
  <c r="F21" i="41"/>
  <c r="G21" i="41"/>
  <c r="F22" i="41"/>
  <c r="G22" i="41"/>
  <c r="F23" i="41"/>
  <c r="G23" i="41"/>
  <c r="F24" i="41"/>
  <c r="G24" i="41"/>
  <c r="F25" i="41"/>
  <c r="G25" i="41"/>
  <c r="F26" i="41"/>
  <c r="G26" i="41"/>
  <c r="F27" i="41"/>
  <c r="G27" i="41"/>
  <c r="F28" i="41"/>
  <c r="G28" i="41"/>
  <c r="F29" i="41"/>
  <c r="G29" i="41"/>
  <c r="F30" i="41"/>
  <c r="G30" i="41"/>
  <c r="F31" i="41"/>
  <c r="G31" i="41"/>
  <c r="F32" i="41"/>
  <c r="G32" i="41"/>
  <c r="G33" i="41"/>
  <c r="G34" i="41"/>
  <c r="G35" i="41"/>
  <c r="B6" i="41"/>
  <c r="D6" i="41" s="1"/>
  <c r="C6" i="41"/>
  <c r="B7" i="41"/>
  <c r="C7" i="41"/>
  <c r="B8" i="41"/>
  <c r="C8" i="41"/>
  <c r="B9" i="41"/>
  <c r="C9" i="41"/>
  <c r="B10" i="41"/>
  <c r="D10" i="41" s="1"/>
  <c r="C10" i="41"/>
  <c r="B11" i="41"/>
  <c r="D11" i="41" s="1"/>
  <c r="C11" i="41"/>
  <c r="B12" i="41"/>
  <c r="D12" i="41" s="1"/>
  <c r="C12" i="41"/>
  <c r="B13" i="41"/>
  <c r="C13" i="41"/>
  <c r="D13" i="41"/>
  <c r="B14" i="41"/>
  <c r="C14" i="41"/>
  <c r="D14" i="41"/>
  <c r="B15" i="41"/>
  <c r="C15" i="41"/>
  <c r="D15" i="41" s="1"/>
  <c r="W15" i="41" s="1"/>
  <c r="B16" i="41"/>
  <c r="C16" i="41"/>
  <c r="D16" i="41" s="1"/>
  <c r="B17" i="41"/>
  <c r="C17" i="41"/>
  <c r="D17" i="41" s="1"/>
  <c r="B18" i="41"/>
  <c r="D18" i="41" s="1"/>
  <c r="C18" i="41"/>
  <c r="B19" i="41"/>
  <c r="D19" i="41" s="1"/>
  <c r="C19" i="41"/>
  <c r="B20" i="41"/>
  <c r="C20" i="41"/>
  <c r="D20" i="41"/>
  <c r="B21" i="41"/>
  <c r="C21" i="41"/>
  <c r="D21" i="41"/>
  <c r="B22" i="41"/>
  <c r="C22" i="41"/>
  <c r="D22" i="41"/>
  <c r="B23" i="41"/>
  <c r="C23" i="41"/>
  <c r="D23" i="41" s="1"/>
  <c r="B24" i="41"/>
  <c r="C24" i="41"/>
  <c r="D24" i="41" s="1"/>
  <c r="W24" i="41" s="1"/>
  <c r="B25" i="41"/>
  <c r="C25" i="41"/>
  <c r="D25" i="41" s="1"/>
  <c r="B26" i="41"/>
  <c r="D26" i="41" s="1"/>
  <c r="C26" i="41"/>
  <c r="B27" i="41"/>
  <c r="D27" i="41" s="1"/>
  <c r="C27" i="41"/>
  <c r="B28" i="41"/>
  <c r="C28" i="41"/>
  <c r="D28" i="41"/>
  <c r="B29" i="41"/>
  <c r="C29" i="41"/>
  <c r="D29" i="41"/>
  <c r="B30" i="41"/>
  <c r="C30" i="41"/>
  <c r="D30" i="41"/>
  <c r="B31" i="41"/>
  <c r="C31" i="41"/>
  <c r="D31" i="41" s="1"/>
  <c r="W31" i="41" s="1"/>
  <c r="B32" i="41"/>
  <c r="C32" i="41"/>
  <c r="D32" i="41" s="1"/>
  <c r="W32" i="41" s="1"/>
  <c r="B33" i="41"/>
  <c r="C33" i="41"/>
  <c r="B34" i="41"/>
  <c r="D34" i="41" s="1"/>
  <c r="C34" i="41"/>
  <c r="B35" i="41"/>
  <c r="D35" i="41" s="1"/>
  <c r="C35" i="41"/>
  <c r="Z5" i="41"/>
  <c r="G5" i="41"/>
  <c r="F5" i="41"/>
  <c r="C5" i="41"/>
  <c r="B5" i="41"/>
  <c r="AD36" i="41"/>
  <c r="AC36" i="41"/>
  <c r="AB36" i="41"/>
  <c r="AA36" i="41"/>
  <c r="V36" i="41"/>
  <c r="U36" i="41"/>
  <c r="T36" i="41"/>
  <c r="R36" i="41"/>
  <c r="Q36" i="41"/>
  <c r="P36" i="41"/>
  <c r="N36" i="41"/>
  <c r="M36" i="41"/>
  <c r="L36" i="41"/>
  <c r="K36" i="41"/>
  <c r="I36" i="41"/>
  <c r="H36" i="41"/>
  <c r="AE34" i="41"/>
  <c r="AE33" i="41"/>
  <c r="AE32" i="41"/>
  <c r="AE31" i="41"/>
  <c r="AE29" i="41"/>
  <c r="AE26" i="41"/>
  <c r="AE25" i="41"/>
  <c r="AE24" i="41"/>
  <c r="AE23" i="41"/>
  <c r="AE21" i="41"/>
  <c r="W21" i="41"/>
  <c r="AE19" i="41"/>
  <c r="AE18" i="41"/>
  <c r="AE17" i="41"/>
  <c r="AE16" i="41"/>
  <c r="AE15" i="41"/>
  <c r="AE13" i="41"/>
  <c r="AE11" i="41"/>
  <c r="AE10" i="41"/>
  <c r="AE9" i="41"/>
  <c r="AE8" i="41"/>
  <c r="AE7" i="41"/>
  <c r="AE5" i="41"/>
  <c r="C35" i="35"/>
  <c r="B35" i="35"/>
  <c r="C34" i="35"/>
  <c r="B34" i="35"/>
  <c r="C33" i="35"/>
  <c r="B33" i="35"/>
  <c r="C32" i="35"/>
  <c r="B32" i="35"/>
  <c r="C31" i="35"/>
  <c r="B31" i="35"/>
  <c r="C30" i="35"/>
  <c r="B30" i="35"/>
  <c r="C29" i="35"/>
  <c r="B29" i="35"/>
  <c r="C28" i="35"/>
  <c r="B28" i="35"/>
  <c r="C27" i="35"/>
  <c r="B27" i="35"/>
  <c r="C26" i="35"/>
  <c r="B26" i="35"/>
  <c r="C25" i="35"/>
  <c r="B25" i="35"/>
  <c r="C24" i="35"/>
  <c r="B24" i="35"/>
  <c r="C23" i="35"/>
  <c r="B23" i="35"/>
  <c r="C22" i="35"/>
  <c r="B22" i="35"/>
  <c r="C21" i="35"/>
  <c r="B21" i="35"/>
  <c r="C20" i="35"/>
  <c r="B20" i="35"/>
  <c r="C19" i="35"/>
  <c r="B19" i="35"/>
  <c r="C18" i="35"/>
  <c r="B18" i="35"/>
  <c r="C17" i="35"/>
  <c r="B17" i="35"/>
  <c r="C16" i="35"/>
  <c r="B16" i="35"/>
  <c r="C15" i="35"/>
  <c r="B15" i="35"/>
  <c r="C14" i="35"/>
  <c r="B14" i="35"/>
  <c r="C13" i="35"/>
  <c r="B13" i="35"/>
  <c r="C12" i="35"/>
  <c r="B12" i="35"/>
  <c r="C11" i="35"/>
  <c r="B11" i="35"/>
  <c r="C10" i="35"/>
  <c r="B10" i="35"/>
  <c r="C9" i="35"/>
  <c r="B9" i="35"/>
  <c r="C8" i="35"/>
  <c r="B8" i="35"/>
  <c r="C7" i="35"/>
  <c r="B7" i="35"/>
  <c r="C6" i="35"/>
  <c r="B6" i="35"/>
  <c r="C5" i="35"/>
  <c r="B5" i="35"/>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5" i="10"/>
  <c r="B27" i="31"/>
  <c r="A27" i="31"/>
  <c r="C37" i="35"/>
  <c r="AJ1" i="41"/>
  <c r="AI1" i="41"/>
  <c r="AD37" i="41"/>
  <c r="AC37" i="41"/>
  <c r="X37" i="41"/>
  <c r="W37" i="41"/>
  <c r="N37" i="41"/>
  <c r="M37" i="41"/>
  <c r="D37" i="41"/>
  <c r="C37" i="41"/>
  <c r="B37" i="37"/>
  <c r="B36" i="37"/>
  <c r="B6" i="37"/>
  <c r="B7" i="37"/>
  <c r="B8" i="37"/>
  <c r="B9" i="37"/>
  <c r="B10"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5" i="37"/>
  <c r="AG30" i="41"/>
  <c r="D9" i="41" l="1"/>
  <c r="AJ9" i="41" s="1"/>
  <c r="D8" i="41"/>
  <c r="W8" i="41" s="1"/>
  <c r="X8" i="41" s="1"/>
  <c r="D33" i="41"/>
  <c r="F36" i="41"/>
  <c r="D7" i="41"/>
  <c r="W7" i="41" s="1"/>
  <c r="X7" i="41" s="1"/>
  <c r="W19" i="41"/>
  <c r="X19" i="41" s="1"/>
  <c r="Z36" i="41"/>
  <c r="W11" i="41"/>
  <c r="X11" i="41" s="1"/>
  <c r="W28" i="41"/>
  <c r="X28" i="41" s="1"/>
  <c r="W23" i="41"/>
  <c r="X23" i="41" s="1"/>
  <c r="W20" i="41"/>
  <c r="X20" i="41" s="1"/>
  <c r="W18" i="41"/>
  <c r="W27" i="41"/>
  <c r="X27" i="41" s="1"/>
  <c r="W16" i="41"/>
  <c r="AH16" i="41" s="1"/>
  <c r="W10" i="41"/>
  <c r="X10" i="41" s="1"/>
  <c r="W17" i="41"/>
  <c r="X17" i="41" s="1"/>
  <c r="AI17" i="41" s="1"/>
  <c r="W13" i="41"/>
  <c r="X13" i="41" s="1"/>
  <c r="W33" i="41"/>
  <c r="W29" i="41"/>
  <c r="X29" i="41" s="1"/>
  <c r="W25" i="41"/>
  <c r="X14" i="41"/>
  <c r="B36" i="41"/>
  <c r="W30" i="41"/>
  <c r="X30" i="41" s="1"/>
  <c r="W6" i="41"/>
  <c r="X6" i="41" s="1"/>
  <c r="X22" i="41"/>
  <c r="X15" i="41"/>
  <c r="X21" i="41"/>
  <c r="X25" i="41"/>
  <c r="AI25" i="41" s="1"/>
  <c r="W35" i="41"/>
  <c r="AG35" i="41"/>
  <c r="X18" i="41"/>
  <c r="W12" i="41"/>
  <c r="X12" i="41" s="1"/>
  <c r="X32" i="41"/>
  <c r="AI32" i="41" s="1"/>
  <c r="X24" i="41"/>
  <c r="W34" i="41"/>
  <c r="X34" i="41" s="1"/>
  <c r="AE36" i="41"/>
  <c r="W26" i="41"/>
  <c r="X26" i="41" s="1"/>
  <c r="X31" i="41"/>
  <c r="D5" i="41"/>
  <c r="AG5" i="41" s="1"/>
  <c r="C36" i="41"/>
  <c r="AG32" i="41"/>
  <c r="AG22" i="41"/>
  <c r="AG26" i="41"/>
  <c r="AG17" i="41"/>
  <c r="AG34" i="41"/>
  <c r="AG33" i="41"/>
  <c r="AG25" i="41"/>
  <c r="AG24" i="41"/>
  <c r="AG31" i="41"/>
  <c r="AG23" i="41"/>
  <c r="AG15" i="41"/>
  <c r="AG27" i="41"/>
  <c r="AG19" i="41"/>
  <c r="AH24" i="41"/>
  <c r="AH32" i="41"/>
  <c r="AH25" i="41"/>
  <c r="AH31" i="41"/>
  <c r="AH15" i="41"/>
  <c r="AH21" i="41"/>
  <c r="AJ13" i="41"/>
  <c r="AH27" i="41"/>
  <c r="AH19" i="41"/>
  <c r="C36" i="35"/>
  <c r="B37" i="35"/>
  <c r="B36" i="35"/>
  <c r="AJ29" i="41"/>
  <c r="AJ21" i="41"/>
  <c r="AJ20" i="41"/>
  <c r="AJ35" i="41"/>
  <c r="AJ27" i="41"/>
  <c r="AJ19" i="41"/>
  <c r="AJ11" i="41"/>
  <c r="AJ34" i="41"/>
  <c r="AJ26" i="41"/>
  <c r="AJ18" i="41"/>
  <c r="AJ10" i="41"/>
  <c r="AJ6" i="41"/>
  <c r="AJ33" i="41"/>
  <c r="AJ25" i="41"/>
  <c r="AJ17" i="41"/>
  <c r="AJ32" i="41"/>
  <c r="AJ24" i="41"/>
  <c r="AJ16" i="41"/>
  <c r="AJ31" i="41"/>
  <c r="AJ23" i="41"/>
  <c r="AJ15" i="41"/>
  <c r="AJ7" i="41"/>
  <c r="AJ30" i="41"/>
  <c r="AJ22" i="41"/>
  <c r="AJ14" i="41"/>
  <c r="AI27" i="41"/>
  <c r="AI19" i="41"/>
  <c r="AJ8" i="41" l="1"/>
  <c r="W9" i="41"/>
  <c r="X9" i="41" s="1"/>
  <c r="X33" i="41"/>
  <c r="X35" i="41"/>
  <c r="AI35" i="41" s="1"/>
  <c r="AH20" i="41"/>
  <c r="AH33" i="41"/>
  <c r="AH29" i="41"/>
  <c r="X16" i="41"/>
  <c r="AI16" i="41" s="1"/>
  <c r="AH17" i="41"/>
  <c r="W5" i="41"/>
  <c r="AH5" i="41" s="1"/>
  <c r="D36" i="41"/>
  <c r="AH35" i="41"/>
  <c r="AG16" i="41"/>
  <c r="AG20" i="41"/>
  <c r="AG28" i="41"/>
  <c r="AG29" i="41"/>
  <c r="AI24" i="41"/>
  <c r="AG21" i="41"/>
  <c r="AI20" i="41"/>
  <c r="AI15" i="41"/>
  <c r="AI21" i="41"/>
  <c r="AI23" i="41"/>
  <c r="AH23" i="41"/>
  <c r="AI26" i="41"/>
  <c r="AH26" i="41"/>
  <c r="AI28" i="41"/>
  <c r="AH28" i="41"/>
  <c r="AI22" i="41"/>
  <c r="AH22" i="41"/>
  <c r="AI31" i="41"/>
  <c r="AI34" i="41"/>
  <c r="AH34" i="41"/>
  <c r="AI30" i="41"/>
  <c r="AH30" i="41"/>
  <c r="AJ12" i="41"/>
  <c r="AJ28" i="41"/>
  <c r="AJ5" i="41"/>
  <c r="AI29" i="41"/>
  <c r="D37" i="40"/>
  <c r="O38" i="40"/>
  <c r="O37" i="40"/>
  <c r="O11" i="36"/>
  <c r="O12" i="36"/>
  <c r="O13" i="36"/>
  <c r="O14" i="36"/>
  <c r="O15" i="36"/>
  <c r="O16" i="36"/>
  <c r="O17" i="36"/>
  <c r="O18" i="36"/>
  <c r="O19" i="36"/>
  <c r="O20" i="36"/>
  <c r="O21" i="36"/>
  <c r="O22" i="36"/>
  <c r="O23" i="36"/>
  <c r="O24" i="36"/>
  <c r="O25" i="36"/>
  <c r="O26" i="36"/>
  <c r="O27" i="36"/>
  <c r="O28" i="36"/>
  <c r="O29" i="36"/>
  <c r="O30" i="36"/>
  <c r="O31" i="36"/>
  <c r="O32" i="36"/>
  <c r="O33" i="36"/>
  <c r="O34" i="36"/>
  <c r="O5" i="36"/>
  <c r="O6" i="36"/>
  <c r="O7" i="36"/>
  <c r="O8" i="36"/>
  <c r="O9" i="36"/>
  <c r="O10" i="36"/>
  <c r="O4" i="36"/>
  <c r="O1" i="40"/>
  <c r="N1" i="40"/>
  <c r="N36" i="40"/>
  <c r="L36" i="40"/>
  <c r="J36" i="40"/>
  <c r="H36" i="40"/>
  <c r="F36" i="40"/>
  <c r="D36" i="40"/>
  <c r="B36" i="40"/>
  <c r="X36" i="41" l="1"/>
  <c r="AI33" i="41"/>
  <c r="W36" i="41"/>
  <c r="X5" i="41"/>
  <c r="AJ36" i="41"/>
  <c r="H40" i="34"/>
  <c r="M36" i="36" l="1"/>
  <c r="L43" i="16"/>
  <c r="L40" i="16" s="1"/>
  <c r="AZ40" i="3" l="1"/>
  <c r="AX40" i="3"/>
  <c r="AV40" i="3"/>
  <c r="AZ39" i="3"/>
  <c r="AX39" i="3"/>
  <c r="AV39" i="3"/>
  <c r="BA38" i="3"/>
  <c r="AY38" i="3"/>
  <c r="AW38" i="3"/>
  <c r="BA37" i="3"/>
  <c r="AY37" i="3"/>
  <c r="AW37" i="3"/>
  <c r="BA36" i="3"/>
  <c r="AY36" i="3"/>
  <c r="AW36" i="3"/>
  <c r="BA35" i="3"/>
  <c r="AY35" i="3"/>
  <c r="AW35" i="3"/>
  <c r="BA34" i="3"/>
  <c r="AY34" i="3"/>
  <c r="AW34" i="3"/>
  <c r="BA33" i="3"/>
  <c r="AY33" i="3"/>
  <c r="AW33" i="3"/>
  <c r="BA32" i="3"/>
  <c r="AY32" i="3"/>
  <c r="AW32" i="3"/>
  <c r="BA31" i="3"/>
  <c r="AY31" i="3"/>
  <c r="AW31" i="3"/>
  <c r="BA30" i="3"/>
  <c r="AY30" i="3"/>
  <c r="AW30" i="3"/>
  <c r="BA29" i="3"/>
  <c r="AY29" i="3"/>
  <c r="AW29" i="3"/>
  <c r="BA28" i="3"/>
  <c r="AY28" i="3"/>
  <c r="AW28" i="3"/>
  <c r="BA27" i="3"/>
  <c r="AY27" i="3"/>
  <c r="AW27" i="3"/>
  <c r="BA26" i="3"/>
  <c r="AY26" i="3"/>
  <c r="AW26" i="3"/>
  <c r="BA25" i="3"/>
  <c r="AY25" i="3"/>
  <c r="AW25" i="3"/>
  <c r="BA24" i="3"/>
  <c r="AY24" i="3"/>
  <c r="AW24" i="3"/>
  <c r="BA23" i="3"/>
  <c r="AY23" i="3"/>
  <c r="AW23" i="3"/>
  <c r="BA22" i="3"/>
  <c r="AY22" i="3"/>
  <c r="AW22" i="3"/>
  <c r="BA21" i="3"/>
  <c r="AY21" i="3"/>
  <c r="AW21" i="3"/>
  <c r="BA20" i="3"/>
  <c r="AY20" i="3"/>
  <c r="AW20" i="3"/>
  <c r="BA19" i="3"/>
  <c r="AY19" i="3"/>
  <c r="AW19" i="3"/>
  <c r="BA18" i="3"/>
  <c r="AY18" i="3"/>
  <c r="AW18" i="3"/>
  <c r="BA17" i="3"/>
  <c r="AY17" i="3"/>
  <c r="AW17" i="3"/>
  <c r="BA16" i="3"/>
  <c r="AY16" i="3"/>
  <c r="AW16" i="3"/>
  <c r="BA15" i="3"/>
  <c r="AY15" i="3"/>
  <c r="AW15" i="3"/>
  <c r="BA14" i="3"/>
  <c r="AY14" i="3"/>
  <c r="AW14" i="3"/>
  <c r="BA13" i="3"/>
  <c r="AY13" i="3"/>
  <c r="AW13" i="3"/>
  <c r="BA12" i="3"/>
  <c r="AY12" i="3"/>
  <c r="AW12" i="3"/>
  <c r="BA11" i="3"/>
  <c r="AY11" i="3"/>
  <c r="AW11" i="3"/>
  <c r="BA10" i="3"/>
  <c r="AY10" i="3"/>
  <c r="AW10" i="3"/>
  <c r="BA9" i="3"/>
  <c r="AY9" i="3"/>
  <c r="AW9" i="3"/>
  <c r="BA8" i="3"/>
  <c r="AY8" i="3"/>
  <c r="AW8" i="3"/>
  <c r="AT40" i="3"/>
  <c r="AT39" i="3"/>
  <c r="AU38" i="3"/>
  <c r="AU37" i="3"/>
  <c r="AU36" i="3"/>
  <c r="AU35" i="3"/>
  <c r="AU34" i="3"/>
  <c r="AU33" i="3"/>
  <c r="AU32" i="3"/>
  <c r="AU31" i="3"/>
  <c r="AU30" i="3"/>
  <c r="AU29" i="3"/>
  <c r="AU28" i="3"/>
  <c r="AU27" i="3"/>
  <c r="AU26" i="3"/>
  <c r="AU25" i="3"/>
  <c r="AU24" i="3"/>
  <c r="AU23" i="3"/>
  <c r="AU22" i="3"/>
  <c r="AU21" i="3"/>
  <c r="AU20" i="3"/>
  <c r="AU19" i="3"/>
  <c r="AU18" i="3"/>
  <c r="AU17" i="3"/>
  <c r="AU16" i="3"/>
  <c r="AU15" i="3"/>
  <c r="AU14" i="3"/>
  <c r="AU13" i="3"/>
  <c r="AU12" i="3"/>
  <c r="AU11" i="3"/>
  <c r="AU10" i="3"/>
  <c r="AU9" i="3"/>
  <c r="AU8" i="3"/>
  <c r="AR40" i="3"/>
  <c r="AR39" i="3"/>
  <c r="AS38" i="3"/>
  <c r="AS37" i="3"/>
  <c r="AS36" i="3"/>
  <c r="AS35" i="3"/>
  <c r="AS34" i="3"/>
  <c r="AS33" i="3"/>
  <c r="AS32" i="3"/>
  <c r="AS31" i="3"/>
  <c r="AS30" i="3"/>
  <c r="AS29" i="3"/>
  <c r="AS28" i="3"/>
  <c r="AS27" i="3"/>
  <c r="AS26" i="3"/>
  <c r="AS25" i="3"/>
  <c r="AS24" i="3"/>
  <c r="AS23" i="3"/>
  <c r="AS22" i="3"/>
  <c r="AS21" i="3"/>
  <c r="AS20" i="3"/>
  <c r="AS19" i="3"/>
  <c r="AS18" i="3"/>
  <c r="AS17" i="3"/>
  <c r="AS16" i="3"/>
  <c r="AS15" i="3"/>
  <c r="AS14" i="3"/>
  <c r="AS13" i="3"/>
  <c r="AS12" i="3"/>
  <c r="AS11" i="3"/>
  <c r="AS10" i="3"/>
  <c r="AS9" i="3"/>
  <c r="AS8" i="3"/>
  <c r="AP40" i="3"/>
  <c r="AP39" i="3"/>
  <c r="AQ38" i="3"/>
  <c r="AQ37" i="3"/>
  <c r="AQ36" i="3"/>
  <c r="AQ35" i="3"/>
  <c r="AQ34" i="3"/>
  <c r="AQ33" i="3"/>
  <c r="AQ32" i="3"/>
  <c r="AQ31" i="3"/>
  <c r="AQ30" i="3"/>
  <c r="AQ29" i="3"/>
  <c r="AQ28" i="3"/>
  <c r="AQ27" i="3"/>
  <c r="AQ26" i="3"/>
  <c r="AQ25" i="3"/>
  <c r="AQ24" i="3"/>
  <c r="AQ23" i="3"/>
  <c r="AQ22" i="3"/>
  <c r="AQ21" i="3"/>
  <c r="AQ20" i="3"/>
  <c r="AQ19" i="3"/>
  <c r="AQ18" i="3"/>
  <c r="AQ17" i="3"/>
  <c r="AQ16" i="3"/>
  <c r="AQ15" i="3"/>
  <c r="AQ14" i="3"/>
  <c r="AQ13" i="3"/>
  <c r="AQ12" i="3"/>
  <c r="AQ11" i="3"/>
  <c r="AQ10" i="3"/>
  <c r="AQ9" i="3"/>
  <c r="AQ8" i="3"/>
  <c r="AN40" i="3"/>
  <c r="AN39" i="3"/>
  <c r="AO38" i="3"/>
  <c r="AO37" i="3"/>
  <c r="AO36" i="3"/>
  <c r="AO35" i="3"/>
  <c r="AO34" i="3"/>
  <c r="AO33" i="3"/>
  <c r="AO32" i="3"/>
  <c r="AO31" i="3"/>
  <c r="AO30" i="3"/>
  <c r="AO29" i="3"/>
  <c r="AO28" i="3"/>
  <c r="AO27" i="3"/>
  <c r="AO26" i="3"/>
  <c r="AO25" i="3"/>
  <c r="AO24" i="3"/>
  <c r="AO23" i="3"/>
  <c r="AO22" i="3"/>
  <c r="AO21" i="3"/>
  <c r="AO20" i="3"/>
  <c r="AO19" i="3"/>
  <c r="AO18" i="3"/>
  <c r="AO17" i="3"/>
  <c r="AO16" i="3"/>
  <c r="AO15" i="3"/>
  <c r="AO14" i="3"/>
  <c r="AO13" i="3"/>
  <c r="AO12" i="3"/>
  <c r="AO11" i="3"/>
  <c r="AO10" i="3"/>
  <c r="AO9" i="3"/>
  <c r="AO8" i="3"/>
  <c r="AL40" i="3"/>
  <c r="AL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3" i="3"/>
  <c r="AM12" i="3"/>
  <c r="AM11" i="3"/>
  <c r="AM10" i="3"/>
  <c r="AM9" i="3"/>
  <c r="AM8" i="3"/>
  <c r="AY40" i="3" l="1"/>
  <c r="AM40" i="3"/>
  <c r="AO40" i="3"/>
  <c r="AQ40" i="3"/>
  <c r="AS40" i="3"/>
  <c r="AU40" i="3"/>
  <c r="AW40" i="3"/>
  <c r="BA40" i="3"/>
  <c r="I39" i="16"/>
  <c r="G39" i="16"/>
  <c r="J36" i="35"/>
  <c r="K36" i="35"/>
  <c r="J37" i="35"/>
  <c r="K37" i="35"/>
  <c r="F36" i="35"/>
  <c r="G36" i="35"/>
  <c r="F37" i="35"/>
  <c r="G37" i="35"/>
  <c r="W37" i="35"/>
  <c r="V37" i="35"/>
  <c r="W36" i="35"/>
  <c r="V36" i="35"/>
  <c r="U37" i="35"/>
  <c r="T37" i="35"/>
  <c r="U36" i="35"/>
  <c r="T36" i="35"/>
  <c r="S37" i="35"/>
  <c r="R37" i="35"/>
  <c r="S36" i="35"/>
  <c r="R36" i="35"/>
  <c r="Q37" i="35"/>
  <c r="P37" i="35"/>
  <c r="Q36" i="35"/>
  <c r="P36" i="35"/>
  <c r="O37" i="35"/>
  <c r="N37" i="35"/>
  <c r="O36" i="35"/>
  <c r="N36" i="35"/>
  <c r="M37" i="35"/>
  <c r="L37" i="35"/>
  <c r="M36" i="35"/>
  <c r="L36" i="35"/>
  <c r="I37" i="35"/>
  <c r="H37" i="35"/>
  <c r="I36" i="35"/>
  <c r="H36" i="35"/>
  <c r="E37" i="35"/>
  <c r="E36" i="35"/>
  <c r="I38" i="16"/>
  <c r="G38" i="16"/>
  <c r="E38" i="16"/>
  <c r="W38" i="7"/>
  <c r="E2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X40" i="7"/>
  <c r="W42" i="7"/>
  <c r="W41" i="7"/>
  <c r="S8" i="3"/>
  <c r="R40" i="3"/>
  <c r="R39" i="3"/>
  <c r="D7" i="15"/>
  <c r="S40" i="3" l="1"/>
  <c r="Y36" i="7"/>
  <c r="AA36" i="16" l="1"/>
  <c r="J65" i="19" l="1"/>
  <c r="J64" i="19"/>
  <c r="AC8" i="3"/>
  <c r="N1" i="11"/>
  <c r="P1" i="11"/>
  <c r="BG39" i="10"/>
  <c r="BG38" i="10"/>
  <c r="AY39" i="10"/>
  <c r="AY38" i="10"/>
  <c r="AQ39" i="10"/>
  <c r="AQ38" i="10"/>
  <c r="AI39" i="10"/>
  <c r="AI38" i="10"/>
  <c r="AA39" i="10"/>
  <c r="AA38" i="10"/>
  <c r="S39" i="10"/>
  <c r="S38" i="10"/>
  <c r="K39" i="10"/>
  <c r="K38" i="10"/>
  <c r="H11" i="34" l="1"/>
  <c r="AG14" i="41" l="1"/>
  <c r="AH14" i="41"/>
  <c r="AG13" i="41"/>
  <c r="AH13" i="41"/>
  <c r="AG12" i="41"/>
  <c r="AH12" i="41"/>
  <c r="AH11" i="41"/>
  <c r="AG11" i="41"/>
  <c r="AH10" i="41"/>
  <c r="AG10" i="41"/>
  <c r="AG7" i="41"/>
  <c r="AH7" i="41"/>
  <c r="AH8" i="41"/>
  <c r="AG8" i="41"/>
  <c r="AG9" i="41"/>
  <c r="AG18" i="41"/>
  <c r="AH18" i="41"/>
  <c r="AG6" i="41"/>
  <c r="AH6" i="41"/>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3" i="3"/>
  <c r="AK12" i="3"/>
  <c r="AK11" i="3"/>
  <c r="AK10" i="3"/>
  <c r="AK9" i="3"/>
  <c r="AK8" i="3"/>
  <c r="AI38" i="3"/>
  <c r="AI37" i="3"/>
  <c r="AI36" i="3"/>
  <c r="AI35" i="3"/>
  <c r="AI34" i="3"/>
  <c r="AI33" i="3"/>
  <c r="AI32" i="3"/>
  <c r="AI31" i="3"/>
  <c r="AI30" i="3"/>
  <c r="AI29" i="3"/>
  <c r="AI28" i="3"/>
  <c r="AI27" i="3"/>
  <c r="AI26" i="3"/>
  <c r="AI25" i="3"/>
  <c r="AI24" i="3"/>
  <c r="AI23" i="3"/>
  <c r="AI22" i="3"/>
  <c r="AI21" i="3"/>
  <c r="AI20" i="3"/>
  <c r="AI19" i="3"/>
  <c r="AI18" i="3"/>
  <c r="AI17" i="3"/>
  <c r="AI16" i="3"/>
  <c r="AI15" i="3"/>
  <c r="AI14" i="3"/>
  <c r="AI13" i="3"/>
  <c r="AI12" i="3"/>
  <c r="AI11" i="3"/>
  <c r="AI10" i="3"/>
  <c r="AI9" i="3"/>
  <c r="AI8"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G9" i="3"/>
  <c r="AG8"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E9" i="3"/>
  <c r="AE8" i="3"/>
  <c r="AC15" i="3"/>
  <c r="AC16" i="3"/>
  <c r="AC17" i="3"/>
  <c r="AC18" i="3"/>
  <c r="AC19" i="3"/>
  <c r="AC20" i="3"/>
  <c r="AC21" i="3"/>
  <c r="AC22" i="3"/>
  <c r="AC23" i="3"/>
  <c r="AC24" i="3"/>
  <c r="AC25" i="3"/>
  <c r="AC26" i="3"/>
  <c r="AC27" i="3"/>
  <c r="AC28" i="3"/>
  <c r="AC29" i="3"/>
  <c r="AC30" i="3"/>
  <c r="AC31" i="3"/>
  <c r="AC32" i="3"/>
  <c r="AC33" i="3"/>
  <c r="AC34" i="3"/>
  <c r="AC35" i="3"/>
  <c r="AC36" i="3"/>
  <c r="AC37" i="3"/>
  <c r="AC38" i="3"/>
  <c r="AC9" i="3"/>
  <c r="AC10" i="3"/>
  <c r="AC11" i="3"/>
  <c r="AC12" i="3"/>
  <c r="AC13" i="3"/>
  <c r="AC14" i="3"/>
  <c r="AI14" i="41" l="1"/>
  <c r="AI13" i="41"/>
  <c r="AI18" i="41"/>
  <c r="AI12" i="41"/>
  <c r="AI11" i="41"/>
  <c r="AI10" i="41"/>
  <c r="AI8" i="41"/>
  <c r="AI7" i="41"/>
  <c r="AI9" i="41"/>
  <c r="AH9" i="41"/>
  <c r="AI6" i="41"/>
  <c r="AJ40" i="3"/>
  <c r="AJ39" i="3"/>
  <c r="AH40" i="3"/>
  <c r="AH39" i="3"/>
  <c r="AI40" i="3"/>
  <c r="AK40" i="3" l="1"/>
  <c r="AI39" i="3"/>
  <c r="F6" i="33"/>
  <c r="F7" i="33"/>
  <c r="F8" i="33"/>
  <c r="H35" i="33" l="1"/>
  <c r="H34" i="33"/>
  <c r="H33" i="33"/>
  <c r="H32" i="33"/>
  <c r="H31" i="33"/>
  <c r="H30" i="33"/>
  <c r="H29" i="33"/>
  <c r="H28" i="33"/>
  <c r="H27" i="33"/>
  <c r="H26" i="33"/>
  <c r="H25" i="33"/>
  <c r="H24" i="33"/>
  <c r="H23" i="33"/>
  <c r="H22" i="33"/>
  <c r="H21" i="33"/>
  <c r="H20" i="33"/>
  <c r="L20" i="33" s="1"/>
  <c r="H19" i="33"/>
  <c r="H18" i="33"/>
  <c r="H17" i="33"/>
  <c r="H16" i="33"/>
  <c r="H15" i="33"/>
  <c r="H14" i="33"/>
  <c r="H13" i="33"/>
  <c r="H12" i="33"/>
  <c r="H11" i="33"/>
  <c r="H10" i="33"/>
  <c r="H9" i="33"/>
  <c r="H8" i="33"/>
  <c r="H7" i="33"/>
  <c r="H6" i="33"/>
  <c r="J37" i="33"/>
  <c r="C36" i="33"/>
  <c r="B36" i="33"/>
  <c r="I35" i="33"/>
  <c r="I34" i="33"/>
  <c r="I33" i="33"/>
  <c r="I32" i="33"/>
  <c r="I31" i="33"/>
  <c r="I30" i="33"/>
  <c r="I29" i="33"/>
  <c r="I28" i="33"/>
  <c r="I27" i="33"/>
  <c r="I26" i="33"/>
  <c r="I25" i="33"/>
  <c r="I24" i="33"/>
  <c r="I23" i="33"/>
  <c r="I22" i="33"/>
  <c r="I21" i="33"/>
  <c r="I20" i="33"/>
  <c r="I19" i="33"/>
  <c r="I18" i="33"/>
  <c r="I17" i="33"/>
  <c r="I16" i="33"/>
  <c r="I15" i="33"/>
  <c r="I14" i="33"/>
  <c r="I13" i="33"/>
  <c r="I12" i="33"/>
  <c r="I11" i="33"/>
  <c r="I10" i="33"/>
  <c r="I9" i="33"/>
  <c r="I8" i="33"/>
  <c r="I7" i="33"/>
  <c r="I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K37" i="33"/>
  <c r="AR42" i="10"/>
  <c r="AQ42" i="10"/>
  <c r="BJ37" i="10"/>
  <c r="BI37" i="10"/>
  <c r="BH37" i="10"/>
  <c r="BG37" i="10"/>
  <c r="BF37" i="10"/>
  <c r="BE37" i="10"/>
  <c r="BD37" i="10"/>
  <c r="BC37" i="10"/>
  <c r="BB37" i="10"/>
  <c r="BA37" i="10"/>
  <c r="AZ37" i="10"/>
  <c r="AY37" i="10"/>
  <c r="AX37" i="10"/>
  <c r="AW37" i="10"/>
  <c r="AV37" i="10"/>
  <c r="AU37" i="10"/>
  <c r="AT37" i="10"/>
  <c r="AS37" i="10"/>
  <c r="AR37" i="10"/>
  <c r="AQ37" i="10"/>
  <c r="AP37" i="10"/>
  <c r="AO37" i="10"/>
  <c r="AN37" i="10"/>
  <c r="AM37" i="10"/>
  <c r="AL37" i="10"/>
  <c r="AK37" i="10"/>
  <c r="AJ37" i="10"/>
  <c r="AI37" i="10"/>
  <c r="AH37" i="10"/>
  <c r="AG37" i="10"/>
  <c r="BJ36" i="10"/>
  <c r="BI36" i="10"/>
  <c r="BH36" i="10"/>
  <c r="BG36" i="10"/>
  <c r="BF36" i="10"/>
  <c r="BE36" i="10"/>
  <c r="BD36" i="10"/>
  <c r="BC36" i="10"/>
  <c r="BB36" i="10"/>
  <c r="BA36" i="10"/>
  <c r="AZ36" i="10"/>
  <c r="AY36" i="10"/>
  <c r="AX36" i="10"/>
  <c r="AW36" i="10"/>
  <c r="AV36" i="10"/>
  <c r="AU36" i="10"/>
  <c r="AT36" i="10"/>
  <c r="AS36" i="10"/>
  <c r="AR36" i="10"/>
  <c r="AQ36" i="10"/>
  <c r="AP36" i="10"/>
  <c r="AO36" i="10"/>
  <c r="AN36" i="10"/>
  <c r="AM36" i="10"/>
  <c r="AL36" i="10"/>
  <c r="AK36" i="10"/>
  <c r="AJ36" i="10"/>
  <c r="AI36" i="10"/>
  <c r="AH36" i="10"/>
  <c r="AG36" i="10"/>
  <c r="G37" i="37"/>
  <c r="G36" i="37"/>
  <c r="B38" i="37"/>
  <c r="A38" i="37"/>
  <c r="F37" i="37"/>
  <c r="E37" i="37"/>
  <c r="D37" i="37"/>
  <c r="C37" i="37"/>
  <c r="F36" i="37"/>
  <c r="E36" i="37"/>
  <c r="D36" i="37"/>
  <c r="C36" i="37"/>
  <c r="AP1" i="16"/>
  <c r="AQ1" i="16"/>
  <c r="AP35" i="16"/>
  <c r="AO35" i="16"/>
  <c r="AN35" i="16"/>
  <c r="AM35" i="16"/>
  <c r="AL35" i="16"/>
  <c r="AK35" i="16"/>
  <c r="AJ35" i="16"/>
  <c r="AI35" i="16"/>
  <c r="AH35" i="16"/>
  <c r="AG35" i="16"/>
  <c r="AF35" i="16"/>
  <c r="AE35" i="16"/>
  <c r="AD35" i="16"/>
  <c r="AC35" i="16"/>
  <c r="AB35" i="16"/>
  <c r="L17" i="33" l="1"/>
  <c r="L19" i="33"/>
  <c r="L27" i="33"/>
  <c r="AG36" i="41"/>
  <c r="L12" i="33"/>
  <c r="L9" i="33"/>
  <c r="L25" i="33"/>
  <c r="L11" i="33"/>
  <c r="L28" i="33"/>
  <c r="L29" i="33"/>
  <c r="L30" i="33"/>
  <c r="L31" i="33"/>
  <c r="L21" i="33"/>
  <c r="L14" i="33"/>
  <c r="L22" i="33"/>
  <c r="L15" i="33"/>
  <c r="L23" i="33"/>
  <c r="L16" i="33"/>
  <c r="L24" i="33"/>
  <c r="L32" i="33"/>
  <c r="L33" i="33"/>
  <c r="L13" i="33"/>
  <c r="L10" i="33"/>
  <c r="L18" i="33"/>
  <c r="L26" i="33"/>
  <c r="L34" i="33"/>
  <c r="L35" i="33"/>
  <c r="M35" i="36"/>
  <c r="AH36" i="41" l="1"/>
  <c r="D52" i="19"/>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5" i="36"/>
  <c r="C6" i="36"/>
  <c r="C7" i="36"/>
  <c r="C4" i="36"/>
  <c r="AI5" i="41" l="1"/>
  <c r="AI36" i="41" s="1"/>
  <c r="H37" i="36"/>
  <c r="J58" i="19" s="1"/>
  <c r="E37" i="36"/>
  <c r="D58" i="19" s="1"/>
  <c r="N36" i="36"/>
  <c r="H36" i="36"/>
  <c r="J57" i="19" s="1"/>
  <c r="E36" i="36"/>
  <c r="N35" i="36"/>
  <c r="H35" i="36"/>
  <c r="J54" i="19" s="1"/>
  <c r="E35" i="36"/>
  <c r="D54" i="19" s="1"/>
  <c r="W34" i="36"/>
  <c r="N34" i="36"/>
  <c r="H34" i="36"/>
  <c r="E34" i="36"/>
  <c r="W33" i="36"/>
  <c r="N33" i="36"/>
  <c r="H33" i="36"/>
  <c r="E33" i="36"/>
  <c r="W32" i="36"/>
  <c r="N32" i="36"/>
  <c r="H32" i="36"/>
  <c r="E32" i="36"/>
  <c r="W31" i="36"/>
  <c r="N31" i="36"/>
  <c r="H31" i="36"/>
  <c r="E31" i="36"/>
  <c r="W30" i="36"/>
  <c r="N30" i="36"/>
  <c r="H30" i="36"/>
  <c r="E30" i="36"/>
  <c r="W29" i="36"/>
  <c r="N29" i="36"/>
  <c r="H29" i="36"/>
  <c r="E29" i="36"/>
  <c r="W28" i="36"/>
  <c r="N28" i="36"/>
  <c r="H28" i="36"/>
  <c r="E28" i="36"/>
  <c r="W27" i="36"/>
  <c r="N27" i="36"/>
  <c r="H27" i="36"/>
  <c r="E27" i="36"/>
  <c r="W26" i="36"/>
  <c r="N26" i="36"/>
  <c r="H26" i="36"/>
  <c r="E26" i="36"/>
  <c r="W25" i="36"/>
  <c r="N25" i="36"/>
  <c r="H25" i="36"/>
  <c r="E25" i="36"/>
  <c r="W24" i="36"/>
  <c r="N24" i="36"/>
  <c r="H24" i="36"/>
  <c r="E24" i="36"/>
  <c r="W23" i="36"/>
  <c r="H23" i="36"/>
  <c r="E23" i="36"/>
  <c r="W22" i="36"/>
  <c r="H22" i="36"/>
  <c r="E22" i="36"/>
  <c r="W21" i="36"/>
  <c r="H21" i="36"/>
  <c r="E21" i="36"/>
  <c r="W20" i="36"/>
  <c r="H20" i="36"/>
  <c r="E20" i="36"/>
  <c r="W19" i="36"/>
  <c r="H19" i="36"/>
  <c r="E19" i="36"/>
  <c r="W18" i="36"/>
  <c r="H18" i="36"/>
  <c r="E18" i="36"/>
  <c r="W17" i="36"/>
  <c r="N17" i="36"/>
  <c r="H17" i="36"/>
  <c r="E17" i="36"/>
  <c r="W16" i="36"/>
  <c r="N16" i="36"/>
  <c r="H16" i="36"/>
  <c r="E16" i="36"/>
  <c r="W15" i="36"/>
  <c r="N15" i="36"/>
  <c r="H15" i="36"/>
  <c r="E15" i="36"/>
  <c r="W14" i="36"/>
  <c r="N14" i="36"/>
  <c r="H14" i="36"/>
  <c r="E14" i="36"/>
  <c r="W13" i="36"/>
  <c r="N13" i="36"/>
  <c r="H13" i="36"/>
  <c r="E13" i="36"/>
  <c r="W12" i="36"/>
  <c r="N12" i="36"/>
  <c r="H12" i="36"/>
  <c r="E12" i="36"/>
  <c r="W11" i="36"/>
  <c r="N11" i="36"/>
  <c r="H11" i="36"/>
  <c r="E11" i="36"/>
  <c r="W10" i="36"/>
  <c r="N10" i="36"/>
  <c r="H10" i="36"/>
  <c r="E10" i="36"/>
  <c r="W9" i="36"/>
  <c r="N9" i="36"/>
  <c r="H9" i="36"/>
  <c r="E9" i="36"/>
  <c r="W8" i="36"/>
  <c r="N8" i="36"/>
  <c r="H8" i="36"/>
  <c r="E8" i="36"/>
  <c r="W7" i="36"/>
  <c r="N7" i="36"/>
  <c r="H7" i="36"/>
  <c r="E7" i="36"/>
  <c r="W6" i="36"/>
  <c r="N6" i="36"/>
  <c r="H6" i="36"/>
  <c r="E6" i="36"/>
  <c r="W5" i="36"/>
  <c r="N5" i="36"/>
  <c r="H5" i="36"/>
  <c r="E5" i="36"/>
  <c r="H4" i="36"/>
  <c r="E4" i="36"/>
  <c r="O36" i="36" l="1"/>
  <c r="D57" i="19"/>
  <c r="D56" i="19"/>
  <c r="J56" i="19"/>
  <c r="W35" i="36"/>
  <c r="O39" i="36" s="1"/>
  <c r="Z39" i="3" l="1"/>
  <c r="J4" i="7" l="1"/>
  <c r="L4" i="7"/>
  <c r="G36" i="34" l="1"/>
  <c r="G34" i="34"/>
  <c r="B36" i="13" l="1"/>
  <c r="B35" i="13"/>
  <c r="E17" i="30" l="1"/>
  <c r="J32" i="16"/>
  <c r="J33" i="16"/>
  <c r="B32" i="16"/>
  <c r="C32" i="16" s="1"/>
  <c r="B33" i="16"/>
  <c r="C33" i="16" s="1"/>
  <c r="E10" i="3" l="1"/>
  <c r="E11" i="3"/>
  <c r="E12" i="3"/>
  <c r="E13" i="3"/>
  <c r="E14" i="3"/>
  <c r="E15" i="3"/>
  <c r="E16" i="3"/>
  <c r="E17" i="3"/>
  <c r="E18" i="3"/>
  <c r="E19" i="3"/>
  <c r="E20" i="3"/>
  <c r="E21" i="3"/>
  <c r="E22" i="3"/>
  <c r="E23" i="3"/>
  <c r="E24" i="3"/>
  <c r="E25" i="3"/>
  <c r="E26" i="3"/>
  <c r="E27" i="3"/>
  <c r="E29" i="3"/>
  <c r="E30" i="3"/>
  <c r="E31" i="3"/>
  <c r="E32" i="3"/>
  <c r="E33" i="3"/>
  <c r="E34" i="3"/>
  <c r="E35" i="3"/>
  <c r="E36" i="3"/>
  <c r="E37" i="3"/>
  <c r="E38" i="3"/>
  <c r="E9" i="3"/>
  <c r="E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8" i="3"/>
  <c r="M8" i="3"/>
  <c r="AZ35" i="16"/>
  <c r="BA35" i="16"/>
  <c r="BB35" i="16"/>
  <c r="BC35" i="16"/>
  <c r="X36" i="7"/>
  <c r="V36" i="7"/>
  <c r="D37" i="35"/>
  <c r="D36" i="35"/>
  <c r="A39" i="35"/>
  <c r="A38" i="35"/>
  <c r="B36" i="10" l="1"/>
  <c r="B37" i="10"/>
  <c r="F40" i="3" l="1"/>
  <c r="H40" i="3"/>
  <c r="J40" i="3"/>
  <c r="L40" i="3"/>
  <c r="N40" i="3"/>
  <c r="P40" i="3"/>
  <c r="T40" i="3"/>
  <c r="V40" i="3"/>
  <c r="X40" i="3"/>
  <c r="Z40" i="3"/>
  <c r="AB40" i="3"/>
  <c r="AD40" i="3"/>
  <c r="AF40" i="3"/>
  <c r="I3" i="34"/>
  <c r="AT34" i="16" l="1"/>
  <c r="J34" i="16"/>
  <c r="B34" i="16"/>
  <c r="C34" i="16" s="1"/>
  <c r="N35" i="16"/>
  <c r="O35" i="16"/>
  <c r="P35" i="16"/>
  <c r="Q35" i="16"/>
  <c r="R35" i="16"/>
  <c r="S35" i="16"/>
  <c r="T35" i="16"/>
  <c r="U35" i="16"/>
  <c r="V35" i="16"/>
  <c r="W35" i="16"/>
  <c r="X35" i="16"/>
  <c r="Y35" i="16"/>
  <c r="Z35" i="16"/>
  <c r="AA35" i="16"/>
  <c r="K43" i="21" l="1"/>
  <c r="K42" i="21"/>
  <c r="J67" i="19"/>
  <c r="J66" i="19"/>
  <c r="D40" i="32"/>
  <c r="D41" i="32"/>
  <c r="K40" i="33"/>
  <c r="K39" i="33"/>
  <c r="E40" i="3"/>
  <c r="A39" i="10"/>
  <c r="A38" i="10"/>
  <c r="AT6" i="16"/>
  <c r="BD1" i="16" l="1"/>
  <c r="BC1" i="16"/>
  <c r="AA1" i="16"/>
  <c r="Z1" i="16"/>
  <c r="J1" i="16"/>
  <c r="I1" i="16"/>
  <c r="A39" i="7"/>
  <c r="A38" i="7"/>
  <c r="A43" i="3"/>
  <c r="A42"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8" i="3"/>
  <c r="Y40" i="3" l="1"/>
  <c r="G40" i="3"/>
  <c r="I40" i="3"/>
  <c r="AA40" i="3"/>
  <c r="U40" i="3"/>
  <c r="Q40" i="3"/>
  <c r="O40" i="3"/>
  <c r="AG40" i="3"/>
  <c r="W40" i="3"/>
  <c r="M40" i="3"/>
  <c r="AE40" i="3"/>
  <c r="K40" i="3"/>
  <c r="AC40" i="3"/>
  <c r="I37" i="11" l="1"/>
  <c r="E37" i="33" l="1"/>
  <c r="D37" i="33"/>
  <c r="C37" i="33"/>
  <c r="B37" i="33"/>
  <c r="F5"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10" i="33"/>
  <c r="G9" i="33"/>
  <c r="G8" i="33"/>
  <c r="L8" i="33" s="1"/>
  <c r="G7" i="33"/>
  <c r="L7" i="33" s="1"/>
  <c r="G6" i="33"/>
  <c r="L6" i="33" s="1"/>
  <c r="G5" i="33"/>
  <c r="F37" i="33" l="1"/>
  <c r="G37" i="33"/>
  <c r="W40" i="7" l="1"/>
  <c r="J35" i="19" s="1"/>
  <c r="Q7" i="11" l="1"/>
  <c r="R7" i="11"/>
  <c r="Q8" i="11"/>
  <c r="R8" i="11"/>
  <c r="Q9" i="11"/>
  <c r="R9" i="11"/>
  <c r="Q10" i="11"/>
  <c r="R10" i="11"/>
  <c r="Q11" i="11"/>
  <c r="R11" i="11"/>
  <c r="Q12" i="11"/>
  <c r="R12" i="11"/>
  <c r="Q13" i="11"/>
  <c r="R13" i="11"/>
  <c r="Q14" i="11"/>
  <c r="R14" i="11"/>
  <c r="Q15" i="11"/>
  <c r="R15" i="11"/>
  <c r="Q16" i="11"/>
  <c r="R16" i="11"/>
  <c r="Q17" i="11"/>
  <c r="R17" i="11"/>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R6" i="11"/>
  <c r="Q6" i="11"/>
  <c r="R37" i="11" l="1"/>
  <c r="K39" i="21" s="1"/>
  <c r="Q37" i="11"/>
  <c r="K40" i="21" s="1"/>
  <c r="I5" i="33"/>
  <c r="H5" i="33"/>
  <c r="H37" i="33" l="1"/>
  <c r="L5" i="33"/>
  <c r="I37" i="33"/>
  <c r="AG39" i="3"/>
  <c r="I41" i="3"/>
  <c r="B40" i="11" s="1"/>
  <c r="F34" i="21" s="1"/>
  <c r="B5" i="16" l="1"/>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4" i="16"/>
  <c r="N42" i="21" l="1"/>
  <c r="N44" i="32"/>
  <c r="M44" i="32"/>
  <c r="N42" i="13"/>
  <c r="M42" i="13"/>
  <c r="N42" i="10"/>
  <c r="M42" i="10"/>
  <c r="N43" i="7"/>
  <c r="M43" i="7"/>
  <c r="X42" i="3"/>
  <c r="V42" i="3"/>
  <c r="J43" i="19"/>
  <c r="J41" i="19"/>
  <c r="J32" i="19" l="1"/>
  <c r="J34" i="19" s="1"/>
  <c r="F35" i="21"/>
  <c r="W4" i="7"/>
  <c r="B38" i="11" l="1"/>
  <c r="C39" i="3" l="1"/>
  <c r="D32" i="19" s="1"/>
  <c r="D41" i="3" l="1"/>
  <c r="J4" i="19" s="1"/>
  <c r="D40" i="3"/>
  <c r="C40" i="3"/>
  <c r="B40" i="3"/>
  <c r="D3" i="19" s="1"/>
  <c r="AF39" i="3"/>
  <c r="AD39" i="3"/>
  <c r="AB39" i="3"/>
  <c r="X39" i="3"/>
  <c r="V39" i="3"/>
  <c r="J39" i="3"/>
  <c r="T39" i="3"/>
  <c r="P39" i="3"/>
  <c r="N39" i="3"/>
  <c r="L39" i="3"/>
  <c r="H39" i="3"/>
  <c r="F39" i="3"/>
  <c r="D39" i="3"/>
  <c r="B39" i="3"/>
  <c r="E34" i="15" s="1"/>
  <c r="J3" i="19" l="1"/>
  <c r="X4" i="7"/>
  <c r="AT5" i="16" l="1"/>
  <c r="AT7" i="16"/>
  <c r="AT8" i="16"/>
  <c r="AT9" i="16"/>
  <c r="AT10" i="16"/>
  <c r="AT11" i="16"/>
  <c r="AT12" i="16"/>
  <c r="AT13" i="16"/>
  <c r="AT14" i="16"/>
  <c r="AT15" i="16"/>
  <c r="AT16" i="16"/>
  <c r="AT17" i="16"/>
  <c r="AT18" i="16"/>
  <c r="AT19" i="16"/>
  <c r="AT20" i="16"/>
  <c r="AT21" i="16"/>
  <c r="AT22" i="16"/>
  <c r="AT23" i="16"/>
  <c r="AT24" i="16"/>
  <c r="AT25" i="16"/>
  <c r="AT26" i="16"/>
  <c r="AT27" i="16"/>
  <c r="AT28" i="16"/>
  <c r="AT29" i="16"/>
  <c r="AT30" i="16"/>
  <c r="AT31" i="16"/>
  <c r="AT32" i="16"/>
  <c r="AT33" i="16"/>
  <c r="AT4" i="16"/>
  <c r="D18" i="32" l="1"/>
  <c r="B18" i="32"/>
  <c r="B37" i="11"/>
  <c r="D24" i="32" l="1"/>
  <c r="D23" i="32"/>
  <c r="D22" i="32"/>
  <c r="AA38" i="7"/>
  <c r="W36" i="7"/>
  <c r="AB36" i="7"/>
  <c r="AA36" i="7"/>
  <c r="R36" i="7"/>
  <c r="BD35" i="16" l="1"/>
  <c r="AY35" i="16"/>
  <c r="AX35" i="16"/>
  <c r="AW35" i="16"/>
  <c r="AV35" i="16"/>
  <c r="AU35" i="16"/>
  <c r="AT35" i="16"/>
  <c r="D45" i="19" l="1"/>
  <c r="D44" i="19"/>
  <c r="D41" i="19"/>
  <c r="D40" i="19"/>
  <c r="D39" i="19"/>
  <c r="I35" i="16"/>
  <c r="Z37" i="16" s="1"/>
  <c r="Z38" i="16" s="1"/>
  <c r="J31" i="16"/>
  <c r="C31" i="16"/>
  <c r="J30" i="16"/>
  <c r="C30" i="16"/>
  <c r="J29" i="16"/>
  <c r="C29" i="16"/>
  <c r="J28" i="16"/>
  <c r="C28" i="16"/>
  <c r="J27" i="16"/>
  <c r="C27" i="16"/>
  <c r="J26" i="16"/>
  <c r="C26" i="16"/>
  <c r="J25" i="16"/>
  <c r="C25" i="16"/>
  <c r="J24" i="16"/>
  <c r="C24" i="16"/>
  <c r="J23" i="16"/>
  <c r="C23" i="16"/>
  <c r="J22" i="16"/>
  <c r="C22" i="16"/>
  <c r="J21" i="16"/>
  <c r="C21" i="16"/>
  <c r="J20" i="16"/>
  <c r="C20" i="16"/>
  <c r="J19" i="16"/>
  <c r="C19" i="16"/>
  <c r="J18" i="16"/>
  <c r="C18" i="16"/>
  <c r="J17" i="16"/>
  <c r="C17" i="16"/>
  <c r="J16" i="16"/>
  <c r="C16" i="16"/>
  <c r="J15" i="16"/>
  <c r="C15" i="16"/>
  <c r="J14" i="16"/>
  <c r="C14" i="16"/>
  <c r="J13" i="16"/>
  <c r="C13" i="16"/>
  <c r="J12" i="16"/>
  <c r="C12" i="16"/>
  <c r="J11" i="16"/>
  <c r="C11" i="16"/>
  <c r="J10" i="16"/>
  <c r="C10" i="16"/>
  <c r="J9" i="16"/>
  <c r="C9" i="16"/>
  <c r="J8" i="16"/>
  <c r="C8" i="16"/>
  <c r="J7" i="16"/>
  <c r="C7" i="16"/>
  <c r="J6" i="16"/>
  <c r="C6" i="16"/>
  <c r="J5" i="16"/>
  <c r="C5" i="16"/>
  <c r="J4" i="16"/>
  <c r="C4" i="16"/>
  <c r="AF37" i="10"/>
  <c r="AE37" i="10"/>
  <c r="AD37" i="10"/>
  <c r="AC37" i="10"/>
  <c r="AB37" i="10"/>
  <c r="AA37" i="10"/>
  <c r="Z37" i="10"/>
  <c r="Y37" i="10"/>
  <c r="X37" i="10"/>
  <c r="W37" i="10"/>
  <c r="AF36" i="10"/>
  <c r="AE36" i="10"/>
  <c r="AD36" i="10"/>
  <c r="AC36" i="10"/>
  <c r="AB36" i="10"/>
  <c r="AA36" i="10"/>
  <c r="Z36" i="10"/>
  <c r="Y36" i="10"/>
  <c r="X36" i="10"/>
  <c r="W36" i="10"/>
  <c r="V37" i="10"/>
  <c r="U37" i="10"/>
  <c r="T37" i="10"/>
  <c r="S37" i="10"/>
  <c r="R37" i="10"/>
  <c r="Q37" i="10"/>
  <c r="P37" i="10"/>
  <c r="O37" i="10"/>
  <c r="N37" i="10"/>
  <c r="M37" i="10"/>
  <c r="V36" i="10"/>
  <c r="U36" i="10"/>
  <c r="T36" i="10"/>
  <c r="S36" i="10"/>
  <c r="R36" i="10"/>
  <c r="Q36" i="10"/>
  <c r="P36" i="10"/>
  <c r="O36" i="10"/>
  <c r="N36" i="10"/>
  <c r="M36" i="10"/>
  <c r="J36" i="19"/>
  <c r="U36" i="7"/>
  <c r="T36" i="7"/>
  <c r="S36" i="7"/>
  <c r="Q36" i="7"/>
  <c r="P36" i="7"/>
  <c r="G2" i="34" l="1"/>
  <c r="D35" i="19"/>
  <c r="J35" i="16"/>
  <c r="D36" i="19" s="1"/>
  <c r="C35" i="16"/>
  <c r="B35" i="16"/>
  <c r="I1" i="34" l="1"/>
  <c r="I2" i="34"/>
  <c r="J63" i="19"/>
  <c r="F37" i="11"/>
  <c r="N36" i="7"/>
  <c r="C36" i="10"/>
  <c r="K4" i="30"/>
  <c r="K5" i="30"/>
  <c r="K3" i="30"/>
  <c r="K2" i="30"/>
  <c r="P37" i="11"/>
  <c r="O37" i="11"/>
  <c r="M37" i="11"/>
  <c r="L37" i="11"/>
  <c r="J37" i="11"/>
  <c r="G37" i="11"/>
  <c r="L37" i="10"/>
  <c r="K37" i="10"/>
  <c r="J37" i="10"/>
  <c r="I37" i="10"/>
  <c r="H37" i="10"/>
  <c r="G37" i="10"/>
  <c r="F37" i="10"/>
  <c r="E37" i="10"/>
  <c r="D37" i="10"/>
  <c r="C37" i="10"/>
  <c r="L36" i="10"/>
  <c r="K36" i="10"/>
  <c r="J36" i="10"/>
  <c r="I36" i="10"/>
  <c r="H36" i="10"/>
  <c r="G36" i="10"/>
  <c r="F36" i="10"/>
  <c r="E36" i="10"/>
  <c r="D36" i="10"/>
  <c r="M35" i="16"/>
  <c r="O36" i="7"/>
  <c r="M36" i="7"/>
  <c r="L36" i="7"/>
  <c r="K36" i="7"/>
  <c r="J36" i="7"/>
  <c r="I36" i="7"/>
  <c r="H36" i="7"/>
  <c r="G36" i="7"/>
  <c r="F36" i="7"/>
  <c r="E36" i="7"/>
  <c r="D36" i="7"/>
  <c r="C36" i="7"/>
  <c r="B36" i="7"/>
  <c r="P39" i="11"/>
  <c r="M39" i="11"/>
  <c r="J39" i="11"/>
  <c r="G39" i="11"/>
  <c r="O38" i="11"/>
  <c r="L38" i="11"/>
  <c r="I38" i="11"/>
  <c r="F38" i="11"/>
  <c r="J52" i="19"/>
  <c r="G40" i="11"/>
  <c r="J40" i="11"/>
  <c r="M40" i="11"/>
  <c r="P40" i="11"/>
  <c r="G41" i="11"/>
  <c r="J41" i="11"/>
  <c r="M41" i="11"/>
  <c r="P41" i="11"/>
  <c r="F40" i="11"/>
  <c r="I40" i="11"/>
  <c r="L40" i="11"/>
  <c r="O40" i="11"/>
  <c r="O41" i="11"/>
  <c r="L41" i="11"/>
  <c r="I41" i="11"/>
  <c r="F41" i="11"/>
  <c r="P43" i="11" l="1"/>
  <c r="I45" i="11" s="1"/>
  <c r="P42" i="11"/>
  <c r="E43" i="11"/>
  <c r="F38" i="21" s="1"/>
  <c r="E42" i="11"/>
  <c r="F37" i="21" s="1"/>
  <c r="J42" i="11"/>
  <c r="F39" i="21" s="1"/>
  <c r="J43" i="11"/>
  <c r="F40" i="21" s="1"/>
  <c r="K35" i="21" l="1"/>
  <c r="B45" i="11"/>
  <c r="K37" i="2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<sst xmlns="http://schemas.openxmlformats.org/spreadsheetml/2006/main" count="1350" uniqueCount="763">
  <si>
    <t>KENTUCKY DIVISION OF WATER</t>
  </si>
  <si>
    <t>DRINKING WATER BRANCH</t>
  </si>
  <si>
    <t>MONTHLY OPERATION REPORT (MOR)--ALL WATER SYSTEMS</t>
  </si>
  <si>
    <t>SURFACE WATER (SW)</t>
  </si>
  <si>
    <t>Indicate one 
with "X"</t>
  </si>
  <si>
    <t>GROUNDWATER (GW) WITH FILTRATION</t>
  </si>
  <si>
    <t>GW - NO FILTRATION</t>
  </si>
  <si>
    <r>
      <t xml:space="preserve"> MONTH &amp; YEAR</t>
    </r>
    <r>
      <rPr>
        <sz val="18"/>
        <rFont val="Arial"/>
        <family val="2"/>
      </rPr>
      <t xml:space="preserve"> (mm/yyyy) </t>
    </r>
  </si>
  <si>
    <t>GW UNDER DIRECT INFLUENCE OF SW</t>
  </si>
  <si>
    <t>PURCHASE / DISTRIBUTE ONLY</t>
  </si>
  <si>
    <t>PWS ID :</t>
  </si>
  <si>
    <t>DIST. CLASS:</t>
  </si>
  <si>
    <t>PLANT NAME:</t>
  </si>
  <si>
    <t xml:space="preserve">PWS NAME: </t>
  </si>
  <si>
    <t>PLANT CLASS:</t>
  </si>
  <si>
    <t>AGENCY INTEREST (AI):</t>
  </si>
  <si>
    <t>PLANT ID</t>
  </si>
  <si>
    <t>1A</t>
  </si>
  <si>
    <t>TPA</t>
  </si>
  <si>
    <t>1D</t>
  </si>
  <si>
    <t xml:space="preserve">SOURCE NAME: </t>
  </si>
  <si>
    <t xml:space="preserve">COUNTY: </t>
  </si>
  <si>
    <t>2A</t>
  </si>
  <si>
    <t>TPB</t>
  </si>
  <si>
    <t>2D</t>
  </si>
  <si>
    <t>3A</t>
  </si>
  <si>
    <t>TPC</t>
  </si>
  <si>
    <t>3D</t>
  </si>
  <si>
    <t>4A</t>
  </si>
  <si>
    <t>TPD</t>
  </si>
  <si>
    <t>4D</t>
  </si>
  <si>
    <t>1B</t>
  </si>
  <si>
    <t>OPERATOR(S) RESPONSIBLE / 
IN-CHARGE:</t>
  </si>
  <si>
    <t>CLASS</t>
  </si>
  <si>
    <t>CERTIFICATION NUMBER</t>
  </si>
  <si>
    <t>2B</t>
  </si>
  <si>
    <t>Business hours</t>
  </si>
  <si>
    <t>3B</t>
  </si>
  <si>
    <t>4B</t>
  </si>
  <si>
    <t>After hours / Emergency</t>
  </si>
  <si>
    <r>
      <t xml:space="preserve">THIS REPORT MUST BE RECEIVED BY THE DIVISION OF WATER </t>
    </r>
    <r>
      <rPr>
        <b/>
        <u/>
        <sz val="12"/>
        <rFont val="Arial"/>
        <family val="2"/>
      </rPr>
      <t>NO LATER THAN 10 DAYS AFTER THE END OF THE MONTH</t>
    </r>
    <r>
      <rPr>
        <b/>
        <sz val="12"/>
        <rFont val="Arial"/>
        <family val="2"/>
      </rPr>
      <t>.</t>
    </r>
  </si>
  <si>
    <t>TREATMENT PLANTS COMPLETE:</t>
  </si>
  <si>
    <t>Basin Number:</t>
  </si>
  <si>
    <t>Date cleaned:</t>
  </si>
  <si>
    <t>1.  DESIGN CAPACITY (gpm):</t>
  </si>
  <si>
    <t>5.  Settling basins:</t>
  </si>
  <si>
    <t>2.  TYPE OF FILTRATION USED:</t>
  </si>
  <si>
    <t>3.  DESIGN FILTRATION RATE (gpm/sq. ft.):</t>
  </si>
  <si>
    <t>4.  PERCENT BACKWASH WATER USED:</t>
  </si>
  <si>
    <r>
      <rPr>
        <b/>
        <sz val="12"/>
        <rFont val="Arial"/>
        <family val="2"/>
      </rPr>
      <t>Instructions:</t>
    </r>
    <r>
      <rPr>
        <sz val="12"/>
        <rFont val="Arial"/>
        <family val="2"/>
      </rPr>
      <t xml:space="preserve"> Water systems complete each page according to the level of treatment provided. </t>
    </r>
  </si>
  <si>
    <t>Link to Complete MOR Instructions</t>
  </si>
  <si>
    <t>ALL water systems must fill out the YELLOW pages.</t>
  </si>
  <si>
    <t>Water systems with water treatment plants should also fill out the GREEN pages.</t>
  </si>
  <si>
    <t>GRAY pages apply to only some water systems or circumstances. Please contact your regional TA if you are unsure which to fill out.</t>
  </si>
  <si>
    <t>I certify under penalty of law that I have personally examined and am familiar with the information submitted herein.  Based on my inquiry of those individuals immediately responsible for obtaining the information, I believe the submitted information is true, accurate and complete.  I am aware that there are significant penalties for submitting false information, including the possiblity of fine and imprisonment. See KRS 224.99-010 and 401 KAR 8:020.  (Penalities under this statute and regulation may include fines up to $25,000 per violation or by imprisonment for not more that one year, or both).</t>
  </si>
  <si>
    <t>SIGNATURE OF PRINCIPAL EXECUTIVE OFFICER OR AUTHORIZED AGENT</t>
  </si>
  <si>
    <t>ATTACH SIGNATURE AND TYPE DATE HERE IF USING VERSIONS OF EXCEL THAT DON'T SUPPORT SIGNATURE FEATURE</t>
  </si>
  <si>
    <t>CHEMICALS ADDED</t>
  </si>
  <si>
    <t>DAY</t>
  </si>
  <si>
    <t>RAW WATER TREATED</t>
  </si>
  <si>
    <t>COAGULANT</t>
  </si>
  <si>
    <r>
      <rPr>
        <b/>
        <sz val="10"/>
        <rFont val="Arial"/>
        <family val="2"/>
      </rPr>
      <t xml:space="preserve">pH </t>
    </r>
    <r>
      <rPr>
        <b/>
        <sz val="11"/>
        <rFont val="Arial"/>
        <family val="2"/>
      </rPr>
      <t xml:space="preserve">ADJUSTMENT 
</t>
    </r>
    <r>
      <rPr>
        <sz val="10"/>
        <rFont val="Arial"/>
        <family val="2"/>
      </rPr>
      <t>(pre)</t>
    </r>
  </si>
  <si>
    <r>
      <rPr>
        <b/>
        <sz val="10"/>
        <rFont val="Arial"/>
        <family val="2"/>
      </rPr>
      <t xml:space="preserve">pH </t>
    </r>
    <r>
      <rPr>
        <b/>
        <sz val="11"/>
        <rFont val="Arial"/>
        <family val="2"/>
      </rPr>
      <t xml:space="preserve">ADJUSTMENT 
</t>
    </r>
    <r>
      <rPr>
        <sz val="10"/>
        <rFont val="Arial"/>
        <family val="2"/>
      </rPr>
      <t>(post)</t>
    </r>
  </si>
  <si>
    <r>
      <rPr>
        <sz val="8"/>
        <color rgb="FFFF0000"/>
        <rFont val="Arial"/>
        <family val="2"/>
      </rPr>
      <t>Note: Chlorine dioxide is to be recorded on Page 6</t>
    </r>
    <r>
      <rPr>
        <b/>
        <sz val="11"/>
        <rFont val="Arial"/>
        <family val="2"/>
      </rPr>
      <t xml:space="preserve">
DISINFECTANT 
</t>
    </r>
    <r>
      <rPr>
        <sz val="10"/>
        <rFont val="Arial"/>
        <family val="2"/>
      </rPr>
      <t>(pre - location 1)</t>
    </r>
  </si>
  <si>
    <r>
      <rPr>
        <sz val="8"/>
        <color rgb="FFFF0000"/>
        <rFont val="Arial"/>
        <family val="2"/>
      </rPr>
      <t>Note: Chlorine dioxide is to be recorded on Page 6</t>
    </r>
    <r>
      <rPr>
        <b/>
        <sz val="11"/>
        <rFont val="Arial"/>
        <family val="2"/>
      </rPr>
      <t xml:space="preserve">
DISINFECTANT 
</t>
    </r>
    <r>
      <rPr>
        <sz val="10"/>
        <rFont val="Arial"/>
        <family val="2"/>
      </rPr>
      <t>(pre - location 2 - optional)</t>
    </r>
  </si>
  <si>
    <t>AMMONIA</t>
  </si>
  <si>
    <t>CARBON</t>
  </si>
  <si>
    <r>
      <t>Permanganate 
(KMnO</t>
    </r>
    <r>
      <rPr>
        <b/>
        <vertAlign val="subscript"/>
        <sz val="11"/>
        <rFont val="Arial"/>
        <family val="2"/>
      </rPr>
      <t xml:space="preserve">4 </t>
    </r>
    <r>
      <rPr>
        <b/>
        <sz val="11"/>
        <rFont val="Arial"/>
        <family val="2"/>
      </rPr>
      <t>or NaMnO</t>
    </r>
    <r>
      <rPr>
        <b/>
        <vertAlign val="subscript"/>
        <sz val="11"/>
        <rFont val="Arial"/>
        <family val="2"/>
      </rPr>
      <t>4</t>
    </r>
    <r>
      <rPr>
        <b/>
        <sz val="11"/>
        <rFont val="Arial"/>
        <family val="2"/>
      </rPr>
      <t>)</t>
    </r>
  </si>
  <si>
    <r>
      <t xml:space="preserve">SEQUESTRANT
</t>
    </r>
    <r>
      <rPr>
        <sz val="10"/>
        <rFont val="Arial"/>
        <family val="2"/>
      </rPr>
      <t>(polyphosphate or blended phosphate)</t>
    </r>
  </si>
  <si>
    <t>OTHER - Type in</t>
  </si>
  <si>
    <t>SELECT CHEMICAL</t>
  </si>
  <si>
    <t>TYPE IN CHEMICAL</t>
  </si>
  <si>
    <t>TYPE IN BRAND NAME</t>
  </si>
  <si>
    <t>CHOOSE CHEMICAL FORM</t>
  </si>
  <si>
    <t>TYPE CHEMICAL FORM</t>
  </si>
  <si>
    <t>% ACTIVE INGREDIENT</t>
  </si>
  <si>
    <t>GALLONS</t>
  </si>
  <si>
    <t>LBS</t>
  </si>
  <si>
    <t>PPM</t>
  </si>
  <si>
    <t>Solid</t>
  </si>
  <si>
    <t>TOTAL</t>
  </si>
  <si>
    <t>Liquid</t>
  </si>
  <si>
    <t>AVERAGE</t>
  </si>
  <si>
    <t>Gas</t>
  </si>
  <si>
    <t>MAX PUMPAGE:</t>
  </si>
  <si>
    <t xml:space="preserve"># DAYS IN OPERATION: </t>
  </si>
  <si>
    <t>Sodium Fluorosilicate</t>
  </si>
  <si>
    <t>** From: USEPA (2016) Optimal Corrosion Control Treatment Evaluation Technical Recommendations for Primacy Agencies and Public Water Systems. EPA 816-B-16-003.</t>
  </si>
  <si>
    <t>Regulatory Reqs.:</t>
  </si>
  <si>
    <t>KY 401 KAR 8:020, Section 3(7) requires an MOR that includes volume of water treated, average number of hours per day water is being treated, and type and amount of chemicals being added. 807 KAR 5:066 requires that PSC-regulated utilities report water volume treated and descriptions of 'chemical constituents' be made available to customers.</t>
  </si>
  <si>
    <t>KY 807 KAR 5:066 requires that PSC-regulated utilities report water volume treated and descriptions of 'chemical constituents' be made available to customers.</t>
  </si>
  <si>
    <r>
      <t xml:space="preserve">WATER QUALITY </t>
    </r>
    <r>
      <rPr>
        <b/>
        <sz val="14"/>
        <rFont val="Arial"/>
        <family val="2"/>
      </rPr>
      <t>ANALYTICAL RESULTS</t>
    </r>
    <r>
      <rPr>
        <b/>
        <sz val="12"/>
        <rFont val="Arial"/>
        <family val="2"/>
      </rPr>
      <t xml:space="preserve"> </t>
    </r>
    <r>
      <rPr>
        <sz val="11"/>
        <rFont val="Arial"/>
        <family val="2"/>
      </rPr>
      <t>(Use units: mg/L or PPM unless otherwise specified)</t>
    </r>
  </si>
  <si>
    <t>pH</t>
  </si>
  <si>
    <t>TOTAL ALKALINITY</t>
  </si>
  <si>
    <t>TOTAL HARDNESS</t>
  </si>
  <si>
    <t>CHLORINE RESIDUAL</t>
  </si>
  <si>
    <r>
      <t xml:space="preserve">TURBIDITY </t>
    </r>
    <r>
      <rPr>
        <sz val="12"/>
        <rFont val="Arial"/>
        <family val="2"/>
      </rPr>
      <t>(NTU)</t>
    </r>
  </si>
  <si>
    <t>IRON</t>
  </si>
  <si>
    <t>MANGANESE</t>
  </si>
  <si>
    <t>ORTHOPHOSPHATE</t>
  </si>
  <si>
    <t>Total Dissolved Solids (TDS)</t>
  </si>
  <si>
    <r>
      <t xml:space="preserve">Lowest Daily Chlorine Residual: Plant Tap On-Line Chlorine Analyzer </t>
    </r>
    <r>
      <rPr>
        <sz val="9"/>
        <rFont val="Arial"/>
        <family val="2"/>
      </rPr>
      <t>(answer 4-log and Chloramine questions at bottom of page first)</t>
    </r>
  </si>
  <si>
    <t>LOG INACTIV-ATION</t>
  </si>
  <si>
    <t>RAINFALL</t>
  </si>
  <si>
    <t>WATER TEMP.</t>
  </si>
  <si>
    <t>TOP OF FILTER</t>
  </si>
  <si>
    <t>PLANT TAP</t>
  </si>
  <si>
    <t>RAW</t>
  </si>
  <si>
    <t>TAP</t>
  </si>
  <si>
    <r>
      <t xml:space="preserve">RAW
</t>
    </r>
    <r>
      <rPr>
        <sz val="9"/>
        <rFont val="Arial"/>
        <family val="2"/>
      </rPr>
      <t>(max.)</t>
    </r>
  </si>
  <si>
    <t>SETTLED WATER</t>
  </si>
  <si>
    <t>CT</t>
  </si>
  <si>
    <t>INCHES</t>
  </si>
  <si>
    <t>AVG.:</t>
  </si>
  <si>
    <t>Total Rainfall</t>
  </si>
  <si>
    <r>
      <t>F</t>
    </r>
    <r>
      <rPr>
        <b/>
        <sz val="9"/>
        <rFont val="Arial"/>
        <family val="2"/>
      </rPr>
      <t/>
    </r>
  </si>
  <si>
    <t>C</t>
  </si>
  <si>
    <t>Free Cl:</t>
  </si>
  <si>
    <t>Total Cl:</t>
  </si>
  <si>
    <t xml:space="preserve">If the water system uses groundwater and is required to maintain a specific minimum disinfectant residual based on 4-log C-T results, list the required minimum residual here (ppm): </t>
  </si>
  <si>
    <t xml:space="preserve">Number of readings: </t>
  </si>
  <si>
    <t>Does the water system use Chloramines for disinfectant? (Y/N)</t>
  </si>
  <si>
    <t xml:space="preserve">For Free Chlorine, # less than 0.2 mg/L: </t>
  </si>
  <si>
    <t>N</t>
  </si>
  <si>
    <t xml:space="preserve">For Chloramines, # less than 0.5 mg/L: </t>
  </si>
  <si>
    <t>Y</t>
  </si>
  <si>
    <t>Regulatory requirements:</t>
  </si>
  <si>
    <t xml:space="preserve">State: </t>
  </si>
  <si>
    <t xml:space="preserve">401 KAR 8:020, Section 3(7) requires an MOR that includes "test results appropriate to be reported by the plant." </t>
  </si>
  <si>
    <t>807 KAR 5:066 requires that each PSC-regulated utility "shall have representative samples of its water examined by the appropriate state or local agency or by a competent chemist and bacteriologist skilled in the sanitary examination of water"</t>
  </si>
  <si>
    <t>Federal (LCRR, SWTRs, and GWR):</t>
  </si>
  <si>
    <t>40 CFR 141.82(g) re: corrosion control (pH, total alkalinity, orthophosphate)</t>
  </si>
  <si>
    <t>40 CFR 141.87 re: WQP (pH, total alkalinity, and when used, orthophosphate)</t>
  </si>
  <si>
    <t>40 CFR 141.72(b) re: chlorine residual</t>
  </si>
  <si>
    <t>40 CFR 141.74(c) re: turbidity and lowest daily chlorine residual at plant tap</t>
  </si>
  <si>
    <t>40 CFR 141.75(b) re: turbidity and lowest daily chlorine residual at plant tap</t>
  </si>
  <si>
    <t>40 CFR 141.132(d) re: alkalinity (DBP precursors)</t>
  </si>
  <si>
    <t>40 CFR 141.405 re: lowest daily chlorine residual</t>
  </si>
  <si>
    <r>
      <rPr>
        <b/>
        <sz val="11.5"/>
        <rFont val="Arial"/>
        <family val="2"/>
      </rPr>
      <t>COMBINED FILTER EFFLUENT 4-HOUR TURBIDITY READINGS</t>
    </r>
    <r>
      <rPr>
        <b/>
        <sz val="12"/>
        <rFont val="Arial"/>
        <family val="2"/>
      </rPr>
      <t xml:space="preserve">
</t>
    </r>
    <r>
      <rPr>
        <sz val="10"/>
        <rFont val="Arial"/>
        <family val="2"/>
      </rPr>
      <t>(Required for all water treatment plants)</t>
    </r>
  </si>
  <si>
    <t>Hours Plant Operated</t>
  </si>
  <si>
    <t># CFE Turbidity Samples Req'd</t>
  </si>
  <si>
    <t>Mid - 
4 am</t>
  </si>
  <si>
    <t>4 am - 8 am</t>
  </si>
  <si>
    <t>8 am - Noon</t>
  </si>
  <si>
    <t>Noon - 
4 pm</t>
  </si>
  <si>
    <t>4 pm - 8 pm</t>
  </si>
  <si>
    <t>8 pm - Mid</t>
  </si>
  <si>
    <t>Daily Maximum</t>
  </si>
  <si>
    <t>Filter Number:</t>
  </si>
  <si>
    <r>
      <rPr>
        <b/>
        <sz val="10"/>
        <rFont val="Arial"/>
        <family val="2"/>
      </rPr>
      <t>RAW</t>
    </r>
    <r>
      <rPr>
        <b/>
        <sz val="9.5"/>
        <rFont val="Arial"/>
        <family val="2"/>
      </rPr>
      <t xml:space="preserve"> </t>
    </r>
    <r>
      <rPr>
        <sz val="9"/>
        <rFont val="Arial"/>
        <family val="2"/>
      </rPr>
      <t>(Daily maximum)</t>
    </r>
  </si>
  <si>
    <t xml:space="preserve">Sedimentation Basin Number: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</si>
  <si>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</si>
  <si>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</si>
  <si>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</si>
  <si>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</si>
  <si>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</si>
  <si>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</si>
  <si>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</si>
  <si>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</si>
  <si>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</si>
  <si>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</si>
  <si>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</si>
  <si>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</si>
  <si>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</si>
  <si>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</si>
  <si>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</si>
  <si>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</si>
  <si>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</si>
  <si>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</si>
  <si>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</si>
  <si>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</si>
  <si>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</si>
  <si>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</si>
  <si>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</si>
  <si>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</si>
  <si>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</si>
  <si>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</si>
  <si>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</si>
  <si>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</si>
  <si>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</si>
  <si>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</si>
  <si>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t>
  </si>
  <si>
    <t>Total # of CFE turbidity samples reported in month:</t>
  </si>
  <si>
    <t>AVG.</t>
  </si>
  <si>
    <r>
      <t xml:space="preserve">Filtration type:
</t>
    </r>
    <r>
      <rPr>
        <sz val="10"/>
        <rFont val="Arial"/>
        <family val="2"/>
      </rPr>
      <t>(choose Y or N for each)</t>
    </r>
  </si>
  <si>
    <t>Conventional</t>
  </si>
  <si>
    <t>Diatomaceous earth</t>
  </si>
  <si>
    <t>Direct</t>
  </si>
  <si>
    <t>Slow sand</t>
  </si>
  <si>
    <r>
      <t xml:space="preserve">% of CFE samples exceeding 0.15 NTU 
(based on number of CFE turbidity samples reported on this page, cell </t>
    </r>
    <r>
      <rPr>
        <sz val="9.5"/>
        <rFont val="Times New Roman"/>
        <family val="1"/>
      </rPr>
      <t>I</t>
    </r>
    <r>
      <rPr>
        <sz val="9.5"/>
        <rFont val="Arial"/>
        <family val="2"/>
      </rPr>
      <t>35)</t>
    </r>
  </si>
  <si>
    <t>Number of samples exceeding:</t>
  </si>
  <si>
    <t>0.1 NTU</t>
  </si>
  <si>
    <t>0.3 NTU</t>
  </si>
  <si>
    <t>1 NTU</t>
  </si>
  <si>
    <t>Were the combined filter effluent (CFE) turbidity levels less than or equal to 0.15 NTU in at least 95% of the 4-hour CFE measurements taken each month?</t>
  </si>
  <si>
    <t>For slow sand filtration, the number of samples exceeding:</t>
  </si>
  <si>
    <t>5 NTU</t>
  </si>
  <si>
    <r>
      <rPr>
        <b/>
        <sz val="11"/>
        <rFont val="Arial"/>
        <family val="2"/>
      </rPr>
      <t>Alternative Filtration:</t>
    </r>
    <r>
      <rPr>
        <b/>
        <sz val="10"/>
        <rFont val="Arial"/>
        <family val="2"/>
      </rPr>
      <t xml:space="preserve">
</t>
    </r>
    <r>
      <rPr>
        <sz val="10"/>
        <rFont val="Arial"/>
        <family val="2"/>
      </rPr>
      <t>(Choose 'Y' if using alternative filtration instead of a standard filtration type)</t>
    </r>
  </si>
  <si>
    <t>CFE Turbidity Violations requiring public notice:</t>
  </si>
  <si>
    <t>A measured turbidity level greater than 1.0 NTU.</t>
  </si>
  <si>
    <t>Measured turbidity levels greater than or equal to 0.3 NTU in 5% or more samples in the month</t>
  </si>
  <si>
    <t>Find PN templates on DOW website, Public Notification tab:</t>
  </si>
  <si>
    <t>Tier 1: use Template 1-7</t>
  </si>
  <si>
    <t>DOW Website Link</t>
  </si>
  <si>
    <t>Tier 2: use Template 2-6</t>
  </si>
  <si>
    <t>Tier 3: use Templates 3-1A or 3-2</t>
  </si>
  <si>
    <t>Tier 2 PNs must be issued to customers within 30 days.</t>
  </si>
  <si>
    <t>Tier 1 PNs must be issued to customers within 24 hours.</t>
  </si>
  <si>
    <t>State:</t>
  </si>
  <si>
    <t xml:space="preserve">401 KAR 8:020 Section 3(7)(a) </t>
  </si>
  <si>
    <t>Federal (Surface Water Treatment Rules):</t>
  </si>
  <si>
    <t>40 CFR 141.73</t>
  </si>
  <si>
    <t>40 CFR 141.74(c)(1) - CFE turbidity</t>
  </si>
  <si>
    <t>40 CFR 141.75(b)(1) - CFE turbidity</t>
  </si>
  <si>
    <t>40 CFR 141.173 - CFE turbidity</t>
  </si>
  <si>
    <t>40 CFR 141.174 - IFE turbidity</t>
  </si>
  <si>
    <t>40 CFR 141.175 - CFE and IFE turbidity</t>
  </si>
  <si>
    <t>40 CFR 141.560 - IFE turbidity</t>
  </si>
  <si>
    <t>40 CFR 141.562 - IFE vs. CFE turbidity monitoring</t>
  </si>
  <si>
    <t>40 CFR 141.715 - CFE and IFE turbidity monitoring for LT2 ESWTR Bin 2 systems</t>
  </si>
  <si>
    <t xml:space="preserve">INDIVIDUAL FILTER TURBIDITY EXCEEDANCE REPORT                            </t>
  </si>
  <si>
    <t>APPLICABLE TO ALL SURFACE WATER PLANTS WITH FILTRATION</t>
  </si>
  <si>
    <r>
      <t xml:space="preserve">If any filter exceeded any one of the individual filter turbidity triggers below, complete the following and submit the appropriate report(s). </t>
    </r>
    <r>
      <rPr>
        <b/>
        <sz val="11.5"/>
        <rFont val="Arial"/>
        <family val="2"/>
      </rPr>
      <t xml:space="preserve">Note: </t>
    </r>
    <r>
      <rPr>
        <sz val="11.5"/>
        <rFont val="Arial"/>
        <family val="2"/>
      </rPr>
      <t>DOW must be notified within 24 hours of any of these triggers.</t>
    </r>
  </si>
  <si>
    <t>Submit all reports to your regional technical assistant</t>
  </si>
  <si>
    <t>TA Contact Webpage</t>
  </si>
  <si>
    <t>For emergency notification, call: 1.800.928.2380</t>
  </si>
  <si>
    <t>Date</t>
  </si>
  <si>
    <t>Filter Number</t>
  </si>
  <si>
    <r>
      <rPr>
        <b/>
        <sz val="12"/>
        <rFont val="Arial"/>
        <family val="2"/>
      </rPr>
      <t>Turbidity Reading</t>
    </r>
    <r>
      <rPr>
        <sz val="10"/>
        <rFont val="Arial"/>
        <family val="2"/>
      </rPr>
      <t xml:space="preserve"> (NTU)</t>
    </r>
  </si>
  <si>
    <r>
      <t xml:space="preserve">Trigger Level </t>
    </r>
    <r>
      <rPr>
        <sz val="10"/>
        <rFont val="Arial"/>
        <family val="2"/>
      </rPr>
      <t>(see below)</t>
    </r>
  </si>
  <si>
    <t>Reason for Exceedance (if known)</t>
  </si>
  <si>
    <t>Date and Time               State was Contacted</t>
  </si>
  <si>
    <t>Trigger Levels:</t>
  </si>
  <si>
    <t>A.  Any one filter has a measured turbidity level of greater than 1.0 NTU in 2 consecutive measurements taken 15 minutes apart.</t>
  </si>
  <si>
    <t>B.  Any one filter has a measured turbidity level of greater than 0.5 NTU in 2 consecutive measurements taken 15 minutes apart at the end of the first 4 hours of operation following a backwash or return to service.</t>
  </si>
  <si>
    <t>C.  Any one filter has a measured turbidity level of greater than 1.0 NTU in 2 consecutive measurements taken 15 minutes apart at any time in each of 3 consecutive months.</t>
  </si>
  <si>
    <t>D.  Any one filter has a measured turbidity level of greater than 2.0 NTU in 2 consecutive measurements taken 15 minutes apart at any time in each of 2 consecutive months.</t>
  </si>
  <si>
    <t>F.  Bin 2 systems only: any one filter has a measured turbidity level of greater than 0.3 NTU in 2 or more consecutive measurements taken 15 minutes apart.</t>
  </si>
  <si>
    <t xml:space="preserve">Report the following information to Division of Water. </t>
  </si>
  <si>
    <t>For Trigger A.:</t>
  </si>
  <si>
    <t>Filter number, the turbidity measurement, the date of exceedance, and reason for the exceedance. If no obvious reason for exceedance, produce a filter profile within 7 days of the exceedance.</t>
  </si>
  <si>
    <t>For Trigger B.:</t>
  </si>
  <si>
    <t>For Trigger C.:</t>
  </si>
  <si>
    <t>Filter number, the turbidity measurement, the date of exceedance and a filter self-assessment within 14 days of the exceedance. The assessment should include:
  a. assessment of filter performance
  b. development of a filter profile
  c. identification and prioritization of factors limiting filter performance
  d. assessment of the applicability of corrections
  e. preparation of a filter self-assessment report</t>
  </si>
  <si>
    <t>For Trigger D.:</t>
  </si>
  <si>
    <t>Filter number, the turbidity measurement, the date of exceedance. In addition, arrange for a Comprehensive Performance Evaluation (CPE) with the Drinking Water Branch no later than 30 days following the exceedance. CPE must be completed within 90 days and the report submitted to Division of Water.</t>
  </si>
  <si>
    <t>For Trigger E.:</t>
  </si>
  <si>
    <t>For Trigger F.:</t>
  </si>
  <si>
    <t xml:space="preserve">FILTER OPERATION </t>
  </si>
  <si>
    <t>TOTAL WASHWATER GALLONS</t>
  </si>
  <si>
    <t>No:</t>
  </si>
  <si>
    <t>type-in</t>
  </si>
  <si>
    <r>
      <t>AREA</t>
    </r>
    <r>
      <rPr>
        <sz val="9"/>
        <rFont val="Arial"/>
        <family val="2"/>
      </rPr>
      <t xml:space="preserve"> (sq. feet):</t>
    </r>
  </si>
  <si>
    <t>WASHWATER GALLONS</t>
  </si>
  <si>
    <t>FILT RUN HRS</t>
  </si>
  <si>
    <t>401 KAR 8:150 Section 6</t>
  </si>
  <si>
    <t>Federal:</t>
  </si>
  <si>
    <t>40 CFR 141.76(d)</t>
  </si>
  <si>
    <r>
      <rPr>
        <b/>
        <sz val="11.5"/>
        <rFont val="Arial"/>
        <family val="2"/>
      </rPr>
      <t>CHLORINE BOOSTER</t>
    </r>
    <r>
      <rPr>
        <b/>
        <sz val="12"/>
        <rFont val="Arial"/>
        <family val="2"/>
      </rPr>
      <t xml:space="preserve">
</t>
    </r>
    <r>
      <rPr>
        <sz val="7.5"/>
        <rFont val="Arial"/>
        <family val="2"/>
      </rPr>
      <t>(use the second column if adding chlorine booster twice in same day OR for a second booster station)</t>
    </r>
  </si>
  <si>
    <t>TEST RESULTS</t>
  </si>
  <si>
    <r>
      <t xml:space="preserve">TOTAL (T) AND FREE (F) CHLORINE RESIDUAL (ppm) 
</t>
    </r>
    <r>
      <rPr>
        <sz val="10"/>
        <rFont val="Arial"/>
        <family val="2"/>
      </rPr>
      <t>Report 3-digit sample point # when relevant.</t>
    </r>
  </si>
  <si>
    <t># TOTAL</t>
  </si>
  <si>
    <t># FREE</t>
  </si>
  <si>
    <t>NORTH</t>
  </si>
  <si>
    <t>SOUTH</t>
  </si>
  <si>
    <t>EAST</t>
  </si>
  <si>
    <t>WEST</t>
  </si>
  <si>
    <r>
      <t xml:space="preserve">Sample Pt # </t>
    </r>
    <r>
      <rPr>
        <vertAlign val="superscript"/>
        <sz val="10"/>
        <color rgb="FFFF0000"/>
        <rFont val="Arial"/>
        <family val="2"/>
      </rPr>
      <t>+</t>
    </r>
  </si>
  <si>
    <t>FREE</t>
  </si>
  <si>
    <t>Sample Pt #</t>
  </si>
  <si>
    <t>Average booster:</t>
  </si>
  <si>
    <t>Total booster:</t>
  </si>
  <si>
    <t xml:space="preserve">Minimum total disinfectant:  </t>
  </si>
  <si>
    <t xml:space="preserve">Minimum free disinfectant:  </t>
  </si>
  <si>
    <t># Days in operation:</t>
  </si>
  <si>
    <t xml:space="preserve">Total # Chlorine Samples: </t>
  </si>
  <si>
    <t xml:space="preserve"># less than 0.2 mg/L (free) 
or 0.5 mg/L (total): </t>
  </si>
  <si>
    <t xml:space="preserve">Number of Free Residuals: </t>
  </si>
  <si>
    <t>Minimum Monthly Free Residual:</t>
  </si>
  <si>
    <t xml:space="preserve">Total # less than 0.2 mg/L: </t>
  </si>
  <si>
    <t xml:space="preserve">Number of Total Residuals: </t>
  </si>
  <si>
    <t>Minimum Monthly Total Residual:</t>
  </si>
  <si>
    <t xml:space="preserve">Total # less than 0.5 mg/L: </t>
  </si>
  <si>
    <t xml:space="preserve"> + Sample Pt #: report the 3-digit sample point number (aka 'Location Code') when applicable (e.g., when using BacT sites/data to record the disinfectant residual).</t>
  </si>
  <si>
    <t>401 KAR 8:150 Section 1(1)(a)(3-4)</t>
  </si>
  <si>
    <t>401 KAR 8:150 Section 1(1)(b)</t>
  </si>
  <si>
    <t>40 CFR 141.75(b)(2) re: lowest daily chlorine residual taken in the distribution system</t>
  </si>
  <si>
    <t>40 CFR 141.72(b)</t>
  </si>
  <si>
    <r>
      <t xml:space="preserve">CHLORINE DIOXIDE </t>
    </r>
    <r>
      <rPr>
        <sz val="12"/>
        <rFont val="Arial"/>
        <family val="2"/>
      </rPr>
      <t>(Applicable only to plants using chlorine dioxide)</t>
    </r>
  </si>
  <si>
    <t>Chlorine Dioxide Added</t>
  </si>
  <si>
    <t>Samples taken at the EPTDS daily</t>
  </si>
  <si>
    <t xml:space="preserve">Additional chlorine dioxide monitoring </t>
  </si>
  <si>
    <r>
      <t>ClO</t>
    </r>
    <r>
      <rPr>
        <vertAlign val="subscript"/>
        <sz val="10"/>
        <rFont val="Arial"/>
        <family val="2"/>
      </rPr>
      <t>2</t>
    </r>
    <r>
      <rPr>
        <sz val="10"/>
        <rFont val="Arial"/>
        <family val="2"/>
      </rPr>
      <t xml:space="preserve"> Added (Lbs)</t>
    </r>
  </si>
  <si>
    <r>
      <t>Chlorine Dioxide</t>
    </r>
    <r>
      <rPr>
        <sz val="11"/>
        <rFont val="Arial"/>
        <family val="2"/>
      </rPr>
      <t xml:space="preserve"> (mg/L)</t>
    </r>
  </si>
  <si>
    <t>MRDL Exceeded?</t>
  </si>
  <si>
    <r>
      <t xml:space="preserve">Chlorite </t>
    </r>
    <r>
      <rPr>
        <sz val="11"/>
        <rFont val="Arial"/>
        <family val="2"/>
      </rPr>
      <t>(mg/L)</t>
    </r>
  </si>
  <si>
    <t>MCL Exceeded?</t>
  </si>
  <si>
    <r>
      <t xml:space="preserve">Additional chlorine dioxide monitoring following an exceedance of the MRDL
</t>
    </r>
    <r>
      <rPr>
        <sz val="10"/>
        <rFont val="Arial"/>
        <family val="2"/>
      </rPr>
      <t>(No booster chlorination in the distribution system)</t>
    </r>
  </si>
  <si>
    <t>DATE</t>
  </si>
  <si>
    <t>Close to 1st customer-1 hr</t>
  </si>
  <si>
    <t>Close to 1st customer-6 hr</t>
  </si>
  <si>
    <t>Close to 1st customer-12 hr</t>
  </si>
  <si>
    <r>
      <t xml:space="preserve">Additional chlorine dioxide </t>
    </r>
    <r>
      <rPr>
        <sz val="12"/>
        <rFont val="Arial"/>
        <family val="2"/>
      </rPr>
      <t>(systems with booster chlorination)</t>
    </r>
    <r>
      <rPr>
        <b/>
        <sz val="14"/>
        <rFont val="Arial"/>
        <family val="2"/>
      </rPr>
      <t xml:space="preserve"> 
or chlorite monitoring </t>
    </r>
  </si>
  <si>
    <t>Use this table if, at the plant tap/EPTDS, a) your system had an MRDL exceedance of chlorine dioxide AND operates a booster chlorination station; OR b) there was a chlorite MCL exceedance</t>
  </si>
  <si>
    <t xml:space="preserve">Indicate which issue happened at the plant tap: </t>
  </si>
  <si>
    <t>Close to 1st customer</t>
  </si>
  <si>
    <t>Avg. Residence Time</t>
  </si>
  <si>
    <t>Max. Residence Time</t>
  </si>
  <si>
    <t>MRDL / MCL Exceeded?</t>
  </si>
  <si>
    <t># chlorine dioxide samples:</t>
  </si>
  <si>
    <t xml:space="preserve"># chlorite samples: </t>
  </si>
  <si>
    <t># days chlorine dioxide added:</t>
  </si>
  <si>
    <t>Max chlorine dioxide:</t>
  </si>
  <si>
    <t xml:space="preserve">Max. chlorite: </t>
  </si>
  <si>
    <t># samples &gt;0.8 ppm</t>
  </si>
  <si>
    <t xml:space="preserve"># samples &gt; 1 ppm: </t>
  </si>
  <si>
    <t xml:space="preserve"> </t>
  </si>
  <si>
    <t>401 KAR 8:150, Section 1(1)</t>
  </si>
  <si>
    <t>401 KAR 8:020, Section 3(7)</t>
  </si>
  <si>
    <t>40 CFR 141.132(c)(2)</t>
  </si>
  <si>
    <t>40 CFR 141.74(c)(2)</t>
  </si>
  <si>
    <t>FLUORIDE</t>
  </si>
  <si>
    <t xml:space="preserve">WATER ANALYSIS RESULTS: </t>
  </si>
  <si>
    <t>CALCULATED AVAILABLE FLUORIDE CONCENTRATION (PPM)</t>
  </si>
  <si>
    <r>
      <t xml:space="preserve">CERTIFIED LAB RESULTS 
</t>
    </r>
    <r>
      <rPr>
        <sz val="8.5"/>
        <rFont val="Arial"/>
        <family val="2"/>
      </rPr>
      <t>(from DPH Form 505A)</t>
    </r>
    <r>
      <rPr>
        <b/>
        <sz val="10"/>
        <rFont val="Arial"/>
        <family val="2"/>
      </rPr>
      <t xml:space="preserve">
</t>
    </r>
    <r>
      <rPr>
        <b/>
        <sz val="9.5"/>
        <rFont val="Arial"/>
        <family val="2"/>
      </rPr>
      <t>(The certified lab analysis should be between 0.60 and 1.20 ppm)</t>
    </r>
  </si>
  <si>
    <t>Sodium Fluoride-Dry system</t>
  </si>
  <si>
    <r>
      <t xml:space="preserve">Sodium Fluoride 
</t>
    </r>
    <r>
      <rPr>
        <sz val="9"/>
        <rFont val="Arial"/>
        <family val="2"/>
      </rPr>
      <t>(Saturator - see below)</t>
    </r>
  </si>
  <si>
    <r>
      <t>Sodium Fluoride</t>
    </r>
    <r>
      <rPr>
        <sz val="9"/>
        <rFont val="Arial"/>
        <family val="2"/>
      </rPr>
      <t xml:space="preserve"> 
(Dry system)</t>
    </r>
  </si>
  <si>
    <t>HFS</t>
  </si>
  <si>
    <r>
      <t>GALLONS</t>
    </r>
    <r>
      <rPr>
        <sz val="9"/>
        <rFont val="Arial"/>
        <family val="2"/>
      </rPr>
      <t xml:space="preserve"> 
(for Saturators only)</t>
    </r>
  </si>
  <si>
    <t xml:space="preserve">Local Analysis (PPM) </t>
  </si>
  <si>
    <t>Certified Lab Analysis (PPM)</t>
  </si>
  <si>
    <t>Contact Department for Public Health with questions: 
502-564-3605 or Oral.Health@ky.gov</t>
  </si>
  <si>
    <t>Select fluoride chemical:</t>
  </si>
  <si>
    <t>Fluoride level is above the regulatory range</t>
  </si>
  <si>
    <t>Sodium Fluoride-Saturator</t>
  </si>
  <si>
    <t>Fluoride level is within the regulatory range</t>
  </si>
  <si>
    <t>Fluoride level is below the regulatory range</t>
  </si>
  <si>
    <t>Calculated available fluoride concentration is &gt;1.20 ppm</t>
  </si>
  <si>
    <t>Hydrofluorosilicic Acid-HFS</t>
  </si>
  <si>
    <t>Calculated available fluoride concentration is &lt;0.60 ppm</t>
  </si>
  <si>
    <t>Chemical</t>
  </si>
  <si>
    <t>Chemical Formula</t>
  </si>
  <si>
    <t>Purity</t>
  </si>
  <si>
    <t>Available Fluoride Ion (AFI) Concentration </t>
  </si>
  <si>
    <t>Sodium Fluoride</t>
  </si>
  <si>
    <t>NaF</t>
  </si>
  <si>
    <r>
      <t>Na</t>
    </r>
    <r>
      <rPr>
        <vertAlign val="subscript"/>
        <sz val="10"/>
        <rFont val="Arial"/>
        <family val="2"/>
      </rPr>
      <t>2</t>
    </r>
    <r>
      <rPr>
        <sz val="10"/>
        <rFont val="Arial"/>
        <family val="2"/>
      </rPr>
      <t>SiF</t>
    </r>
    <r>
      <rPr>
        <vertAlign val="subscript"/>
        <sz val="10"/>
        <rFont val="Arial"/>
        <family val="2"/>
      </rPr>
      <t>6</t>
    </r>
  </si>
  <si>
    <r>
      <t xml:space="preserve">Hydrofluorosilicic Acid </t>
    </r>
    <r>
      <rPr>
        <sz val="9"/>
        <rFont val="Arial"/>
        <family val="2"/>
      </rPr>
      <t>(HFS)</t>
    </r>
  </si>
  <si>
    <r>
      <t>H</t>
    </r>
    <r>
      <rPr>
        <vertAlign val="subscript"/>
        <sz val="10"/>
        <rFont val="Arial"/>
        <family val="2"/>
      </rPr>
      <t>2</t>
    </r>
    <r>
      <rPr>
        <sz val="10"/>
        <rFont val="Arial"/>
        <family val="2"/>
      </rPr>
      <t>SiF</t>
    </r>
    <r>
      <rPr>
        <vertAlign val="subscript"/>
        <sz val="10"/>
        <rFont val="Arial"/>
        <family val="2"/>
      </rPr>
      <t>6</t>
    </r>
  </si>
  <si>
    <r>
      <rPr>
        <b/>
        <sz val="10"/>
        <rFont val="Arial"/>
        <family val="2"/>
      </rPr>
      <t>Note for saturators</t>
    </r>
    <r>
      <rPr>
        <sz val="10"/>
        <rFont val="Arial"/>
        <family val="2"/>
      </rPr>
      <t xml:space="preserve"> - The calculated parts per million (ppm) for saturators utilizes a formula based on a saturation of 18,000 ppm.  The calculated ppm will not be accurate if your system is not achieving saturation.  If the calculated ppm is different from your certified lab results, contact your Community Water Fluoridation Specialist.  Verification of the saturator solution concentration from a certified lab is recommended.  Make sure the certified lab is aware that the sample is a saturator sample and the results could be potentially high.  If saturation is at 18,000 ppm, the operator will need to investigate a potential loss of chemical.  </t>
    </r>
  </si>
  <si>
    <t>Fluoride calculation formula (when using Dry Hopper and HFS):</t>
  </si>
  <si>
    <t>Fluoride calculation formula (when using sodium fluoride with a saturator):</t>
  </si>
  <si>
    <t>902 KAR 115:010, Section 4(6)</t>
  </si>
  <si>
    <t>902 KAR 115:010, Section 4(1)</t>
  </si>
  <si>
    <r>
      <t xml:space="preserve">Were the </t>
    </r>
    <r>
      <rPr>
        <b/>
        <sz val="11"/>
        <rFont val="Arial"/>
        <family val="2"/>
      </rPr>
      <t>combined filter</t>
    </r>
    <r>
      <rPr>
        <sz val="11"/>
        <rFont val="Arial"/>
        <family val="2"/>
      </rPr>
      <t xml:space="preserve"> effluent (CFE) turbidity levels less than or equal to 0.15 NTU in at least 95% of the 4-hour CFE measurements taken each month?</t>
    </r>
  </si>
  <si>
    <r>
      <t xml:space="preserve">Were filter effluent turbidity levels at each </t>
    </r>
    <r>
      <rPr>
        <b/>
        <sz val="11"/>
        <rFont val="Arial"/>
        <family val="2"/>
      </rPr>
      <t>individual filter</t>
    </r>
    <r>
      <rPr>
        <sz val="11"/>
        <rFont val="Arial"/>
        <family val="2"/>
      </rPr>
      <t xml:space="preserve"> less than or equal to 0.15 NTU in at least 95% of samples measured in 15 minute intervals?</t>
    </r>
  </si>
  <si>
    <r>
      <t xml:space="preserve">Was any individual filter effluent turbidity level greater than 0.3 NTU in 2 consecutive readings 15 minutes apart? </t>
    </r>
    <r>
      <rPr>
        <b/>
        <sz val="11"/>
        <rFont val="Arial"/>
        <family val="2"/>
      </rPr>
      <t>If Yes, answer the following:</t>
    </r>
  </si>
  <si>
    <t>Yes</t>
  </si>
  <si>
    <t>2. Describe the circumstances (be specific as to the event and filters affected, including the length of time affected):     </t>
  </si>
  <si>
    <t>No</t>
  </si>
  <si>
    <t>3. Time/date/office contacted regarding the unusual and short-term circumstances:     </t>
  </si>
  <si>
    <t>Time:</t>
  </si>
  <si>
    <t xml:space="preserve">Date:    </t>
  </si>
  <si>
    <t>Office:</t>
  </si>
  <si>
    <t>4. Only 2 unusual and short-lived circumstances can occur in a calendar year. For the present calendar year, how many times has such a situation occurred? . . . . . . . . . . . . . .</t>
  </si>
  <si>
    <r>
      <rPr>
        <b/>
        <sz val="11"/>
        <rFont val="Arial"/>
        <family val="2"/>
      </rPr>
      <t xml:space="preserve">Out-of-Service Filters: </t>
    </r>
    <r>
      <rPr>
        <sz val="11"/>
        <rFont val="Arial"/>
        <family val="2"/>
      </rPr>
      <t xml:space="preserve">Complete for any filters removed from service due to potential IFE non-compliance.  </t>
    </r>
  </si>
  <si>
    <t>Filter #</t>
  </si>
  <si>
    <t>Time</t>
  </si>
  <si>
    <t>Reason Removed from Service</t>
  </si>
  <si>
    <t>Filter Production for the Month</t>
  </si>
  <si>
    <t>Total Plant Production for the Month</t>
  </si>
  <si>
    <t>Filter Percentage of Total Plant Production</t>
  </si>
  <si>
    <t>(m/d/yy)</t>
  </si>
  <si>
    <t>(gallons)</t>
  </si>
  <si>
    <t>     </t>
  </si>
  <si>
    <t>DOW will determine that a filter will not count towards IFE Toolbox non-compliance if the following occurs:</t>
  </si>
  <si>
    <r>
      <t>Schedule 1-3</t>
    </r>
    <r>
      <rPr>
        <sz val="9"/>
        <rFont val="Arial"/>
        <family val="2"/>
      </rPr>
      <t xml:space="preserve"> (serves 10,000 or more people):</t>
    </r>
  </si>
  <si>
    <r>
      <t xml:space="preserve">Total production from the filter is less than 0.5% of the total plant production for the month </t>
    </r>
    <r>
      <rPr>
        <b/>
        <sz val="10"/>
        <rFont val="Arial"/>
        <family val="2"/>
      </rPr>
      <t>or</t>
    </r>
    <r>
      <rPr>
        <sz val="10"/>
        <rFont val="Arial"/>
        <family val="2"/>
      </rPr>
      <t xml:space="preserve"> it was in operation less than 48 consecutive hours</t>
    </r>
  </si>
  <si>
    <r>
      <t>Schedule 4</t>
    </r>
    <r>
      <rPr>
        <sz val="9"/>
        <rFont val="Arial"/>
        <family val="2"/>
      </rPr>
      <t xml:space="preserve"> (serves  
&lt; 10,000 people):</t>
    </r>
  </si>
  <si>
    <r>
      <t xml:space="preserve">Total production from the filter is less than 2.5% of the total plant production for the month </t>
    </r>
    <r>
      <rPr>
        <b/>
        <sz val="10"/>
        <rFont val="Arial"/>
        <family val="2"/>
      </rPr>
      <t>or</t>
    </r>
    <r>
      <rPr>
        <sz val="10"/>
        <rFont val="Arial"/>
        <family val="2"/>
      </rPr>
      <t xml:space="preserve"> it was in operation less than 24 hours in 3 consecutive days</t>
    </r>
  </si>
  <si>
    <r>
      <rPr>
        <b/>
        <sz val="11"/>
        <rFont val="Arial"/>
        <family val="2"/>
      </rPr>
      <t>Turbidimeter Failure:</t>
    </r>
    <r>
      <rPr>
        <sz val="11"/>
        <rFont val="Arial"/>
        <family val="2"/>
      </rPr>
      <t xml:space="preserve"> </t>
    </r>
    <r>
      <rPr>
        <sz val="10"/>
        <rFont val="Arial"/>
        <family val="2"/>
      </rPr>
      <t xml:space="preserve">If there is a failure in the continuous turbidity monitoring equipment, the system shall conduct grab sampling every four hours in lieu of continuous monitoring, but for no more than five working days (if greater than 10,000 in population) or 14 working days (if less than 10,000 in population) following the failure of the equipment.  </t>
    </r>
    <r>
      <rPr>
        <b/>
        <sz val="10"/>
        <rFont val="Arial"/>
        <family val="2"/>
      </rPr>
      <t>NOTE:</t>
    </r>
    <r>
      <rPr>
        <sz val="10"/>
        <rFont val="Arial"/>
        <family val="2"/>
      </rPr>
      <t xml:space="preserve">  This information is also recorded on the first MOR Summary Page under “Individual Filter Effluent Turbidity”.</t>
    </r>
  </si>
  <si>
    <t>Date turbidimeter failed</t>
  </si>
  <si>
    <t>Date returned to service</t>
  </si>
  <si>
    <t>Reason for failure</t>
  </si>
  <si>
    <r>
      <t xml:space="preserve">Individual filter effluent turbidimeter calibration certification (list date calibrated).
</t>
    </r>
    <r>
      <rPr>
        <sz val="9"/>
        <color theme="1" tint="0.499984740745262"/>
        <rFont val="Arial"/>
        <family val="2"/>
      </rPr>
      <t>Note: water systems should maintain documentation of calibrations in their files.</t>
    </r>
  </si>
  <si>
    <r>
      <t>1</t>
    </r>
    <r>
      <rPr>
        <vertAlign val="superscript"/>
        <sz val="11"/>
        <rFont val="Arial"/>
        <family val="2"/>
      </rPr>
      <t>st</t>
    </r>
    <r>
      <rPr>
        <sz val="11"/>
        <rFont val="Arial"/>
        <family val="2"/>
      </rPr>
      <t xml:space="preserve"> Quarter </t>
    </r>
  </si>
  <si>
    <r>
      <t>3</t>
    </r>
    <r>
      <rPr>
        <vertAlign val="superscript"/>
        <sz val="11"/>
        <rFont val="Arial"/>
        <family val="2"/>
      </rPr>
      <t>rd</t>
    </r>
    <r>
      <rPr>
        <sz val="11"/>
        <rFont val="Arial"/>
        <family val="2"/>
      </rPr>
      <t xml:space="preserve"> Quarter</t>
    </r>
  </si>
  <si>
    <r>
      <t>2</t>
    </r>
    <r>
      <rPr>
        <vertAlign val="superscript"/>
        <sz val="11"/>
        <rFont val="Arial"/>
        <family val="2"/>
      </rPr>
      <t>nd</t>
    </r>
    <r>
      <rPr>
        <sz val="11"/>
        <rFont val="Arial"/>
        <family val="2"/>
      </rPr>
      <t xml:space="preserve"> Quarter</t>
    </r>
  </si>
  <si>
    <r>
      <t>4</t>
    </r>
    <r>
      <rPr>
        <vertAlign val="superscript"/>
        <sz val="11"/>
        <rFont val="Arial"/>
        <family val="2"/>
      </rPr>
      <t>th</t>
    </r>
    <r>
      <rPr>
        <sz val="11"/>
        <rFont val="Arial"/>
        <family val="2"/>
      </rPr>
      <t xml:space="preserve"> Quarter</t>
    </r>
  </si>
  <si>
    <t>ULTRAVIOLET (UV) TREATMENT</t>
  </si>
  <si>
    <t>Target Pathogen:</t>
  </si>
  <si>
    <t>Surrogate:</t>
  </si>
  <si>
    <t>Target Log Inactivation:</t>
  </si>
  <si>
    <t>Reactor Number</t>
  </si>
  <si>
    <r>
      <t xml:space="preserve">Total Reactor Production </t>
    </r>
    <r>
      <rPr>
        <sz val="10"/>
        <color theme="1"/>
        <rFont val="Arial"/>
        <family val="2"/>
      </rPr>
      <t>(MG)</t>
    </r>
  </si>
  <si>
    <t>Off-Specification Data</t>
  </si>
  <si>
    <t>Number of Off-Specification Events</t>
  </si>
  <si>
    <r>
      <t>Total Off-Specification Volume</t>
    </r>
    <r>
      <rPr>
        <sz val="10"/>
        <color theme="1"/>
        <rFont val="Arial"/>
        <family val="2"/>
      </rPr>
      <t xml:space="preserve"> (MG)</t>
    </r>
  </si>
  <si>
    <t>Million gallons processed through this reactor</t>
  </si>
  <si>
    <t>Occurs when the UV facility operates outside of the validated conditions, a UV sensor is not in calibration, the UVT analyzer is not in calibration (and it is part of the dose-monitoring strategy), or UV equipment is not equivalent or better than the equipment validated.</t>
  </si>
  <si>
    <t>The total volume (million gallons) of water produced by the reactor during each off-specification event</t>
  </si>
  <si>
    <r>
      <rPr>
        <sz val="10"/>
        <color theme="1"/>
        <rFont val="Arial"/>
        <family val="2"/>
      </rPr>
      <t>Total Volume Produced:</t>
    </r>
    <r>
      <rPr>
        <b/>
        <sz val="10"/>
        <color theme="1"/>
        <rFont val="Arial"/>
        <family val="2"/>
      </rPr>
      <t xml:space="preserve">
 [A]  </t>
    </r>
  </si>
  <si>
    <r>
      <rPr>
        <sz val="10"/>
        <color theme="1"/>
        <rFont val="Arial"/>
        <family val="2"/>
      </rPr>
      <t>Total Off-Specification Volume:</t>
    </r>
    <r>
      <rPr>
        <b/>
        <sz val="10"/>
        <color theme="1"/>
        <rFont val="Arial"/>
        <family val="2"/>
      </rPr>
      <t xml:space="preserve">
[B]  </t>
    </r>
  </si>
  <si>
    <t>Compliance Certification</t>
  </si>
  <si>
    <t>Total Volume of Off-Specification Water Produced (MG):</t>
  </si>
  <si>
    <t>[B]</t>
  </si>
  <si>
    <t>Total Volume of Water Produced (MG):</t>
  </si>
  <si>
    <t>[A]</t>
  </si>
  <si>
    <t>Total Off-Specification Water Produced (% of Volume of Water Produced):</t>
  </si>
  <si>
    <t>[B]/[A]x100</t>
  </si>
  <si>
    <t>Facility Meets Off-Specification Requirement (&lt; 5% of Volume on a Monthly Basis)? 
(Choose Y or N)</t>
  </si>
  <si>
    <t>Total Number of Duty Sensors Used at This Facility:</t>
  </si>
  <si>
    <t>Total Number of Duty Sensors Checked for Calibration This Month:</t>
  </si>
  <si>
    <t>Total Number of Checked Sensors Within the Acceptable Range of Tolerance:</t>
  </si>
  <si>
    <t>Reactors that had a Sensor Correction Factor</t>
  </si>
  <si>
    <t>Sensor Correction Factor</t>
  </si>
  <si>
    <t>CONTACT CLARIFIER REPORTING</t>
  </si>
  <si>
    <t>Clarifier 1</t>
  </si>
  <si>
    <t>Clarifier 2</t>
  </si>
  <si>
    <t>Clarifier 3</t>
  </si>
  <si>
    <t>Clarifier 4</t>
  </si>
  <si>
    <t>Clarifier 5</t>
  </si>
  <si>
    <r>
      <t xml:space="preserve">RINSE WATER USED </t>
    </r>
    <r>
      <rPr>
        <b/>
        <sz val="9"/>
        <rFont val="Arial"/>
        <family val="2"/>
      </rPr>
      <t>(gallons)</t>
    </r>
  </si>
  <si>
    <t>WATER TREATMENT PLANT SUMMARY</t>
  </si>
  <si>
    <t xml:space="preserve">APPLICABLE TO ALL WATER SYSTEMS WITH TREATMENT PLANTS </t>
  </si>
  <si>
    <t>APPLICABLE TO ALL PLANTS WITH FILTRATION</t>
  </si>
  <si>
    <t>AVERAGE DAILY PRODUCTION (gallons) . . . . .</t>
  </si>
  <si>
    <t>TOTAL WATER TREATED (gallons)</t>
  </si>
  <si>
    <t>MAXIMUM PUMPAGE (gallons / day)</t>
  </si>
  <si>
    <t>INDIVIDUAL FILTER EFFLUENT TURBIDITY</t>
  </si>
  <si>
    <t xml:space="preserve">ANALYTE CODE </t>
  </si>
  <si>
    <t>0100</t>
  </si>
  <si>
    <t>Was each filter monitored continuously? (Y/N) . . . . . . . . . . . . . . . . . . . . . . .  . . . . . . . . . . . . . . . . . . . . . . . . . . . . . . . . . . . . . .</t>
  </si>
  <si>
    <t>Were measurements recorded every 15 minutes?  (Y/N)  . . . . . . . . . . .  . . .  . . . . . . . . . . . . . . . . . . . . . . . . . . . . . . . . . . . . . .</t>
  </si>
  <si>
    <t>Was there a failure of the continuous monitoring equipment?  (Y/N)  . . . . . .  . . . . . . . . . . . . . . . . . . . . . . . . . . . . . . . . . . . . . . .</t>
  </si>
  <si>
    <t>Was individual filter level greater than 1.0 NTU in two consecutive measurements?  (Y/N) . . . . . . .. . . . . . . . . . . . . . . . . . . . . . . .</t>
  </si>
  <si>
    <t>Was individual filter level greater than 0.5 NTU in two consecutive measurements after on line for more than four hours?  (Y/N) . . .</t>
  </si>
  <si>
    <t>Was individual filter level greater than 1.0 NTU in two consecutive measurements in three consecutive months?  (Y/N) . . . . . . . . .</t>
  </si>
  <si>
    <t>If any of the last 4 boxes are YES, fill out  the Individual Filter Turbidity Exceedance Report sheet and submit with the MOR</t>
  </si>
  <si>
    <t>COMBINED FILTER EFFLUENT TURBIDITY</t>
  </si>
  <si>
    <t>ENTRY POINT RESIDUAL DISINFECTANT CONCENTRATION</t>
  </si>
  <si>
    <t>APPLICABLE TO ALL PLANTS</t>
  </si>
  <si>
    <t>ANALYTE CODE</t>
  </si>
  <si>
    <t>0999</t>
  </si>
  <si>
    <t>Number of hours of plant operation</t>
  </si>
  <si>
    <t>Number of days of plant operation</t>
  </si>
  <si>
    <t>Were samples taken every 4 hours of plant operation?  (Y/N)</t>
  </si>
  <si>
    <t xml:space="preserve">Were samples taken each day of operation? </t>
  </si>
  <si>
    <t>Number of samples taken</t>
  </si>
  <si>
    <t>Number of lowest chlorine samples recorded</t>
  </si>
  <si>
    <t>Highest single turbidity reading</t>
  </si>
  <si>
    <t>Lowest single chlorine reading</t>
  </si>
  <si>
    <t>For all filtration except slow sand filtration:</t>
  </si>
  <si>
    <t>If less than required:</t>
  </si>
  <si>
    <t>Number of samples exceeded 0.1 NTU</t>
  </si>
  <si>
    <t>Was residual restored within 4 hours of plant operation? (Y/N)</t>
  </si>
  <si>
    <t>Number of samples exceeded 0.3 NTU</t>
  </si>
  <si>
    <r>
      <t>Free Chlorine</t>
    </r>
    <r>
      <rPr>
        <sz val="10"/>
        <rFont val="Arial"/>
        <family val="2"/>
      </rPr>
      <t xml:space="preserve"> (for all disinfectants except chloramine):</t>
    </r>
  </si>
  <si>
    <t xml:space="preserve">Number of samples exceeded 1 NTU </t>
  </si>
  <si>
    <t>Number of samples under 0.2 mg/L</t>
  </si>
  <si>
    <t>If any samples &gt; 1.0 NTU: has state been notified?</t>
  </si>
  <si>
    <r>
      <t>Total Chlorine</t>
    </r>
    <r>
      <rPr>
        <sz val="10"/>
        <rFont val="Arial"/>
        <family val="2"/>
      </rPr>
      <t xml:space="preserve"> (when disinfectant is chloramine):</t>
    </r>
  </si>
  <si>
    <t>When filtration is slow sand filtration:</t>
  </si>
  <si>
    <t>Number of samples under 0.5 mg/L</t>
  </si>
  <si>
    <t>Number of samples exceeded 1 NTU</t>
  </si>
  <si>
    <t xml:space="preserve">Number of samples exceeded 5 NTU </t>
  </si>
  <si>
    <t>If any samples &gt; 5.0 NTU: has state been notified?</t>
  </si>
  <si>
    <t>CHLORINE DIOXIDE ENTRY POINT MONITORING</t>
  </si>
  <si>
    <t>CHLORITE ENTRY POINT MONITORING</t>
  </si>
  <si>
    <t xml:space="preserve">APPLICABLE TO PLANTS UTILIZING CHLORINE DIOXIDE </t>
  </si>
  <si>
    <t>1008</t>
  </si>
  <si>
    <t>1009</t>
  </si>
  <si>
    <t>Number of days chlorine dioxide added</t>
  </si>
  <si>
    <t>Were chlorine dioxide samples taken each day chlorine dioxide was added?</t>
  </si>
  <si>
    <t>Were chlorite samples taken each day chlorine dioxide was added?</t>
  </si>
  <si>
    <t>Highest single chlorine dioxide reading</t>
  </si>
  <si>
    <t>Highest single chlorite reading</t>
  </si>
  <si>
    <t>Number of chlorine dioxide samples exceeded 0.8 mg/L</t>
  </si>
  <si>
    <t>Number of chlorite samples exceeded 1 mg/L</t>
  </si>
  <si>
    <t>ADDITIONAL TURBIDITY REPORTING REQUIRED BY LT2 ESWTR</t>
  </si>
  <si>
    <r>
      <t>APPLICABLE ONLY TO SYSTEMS CLASSIFIED AS BIN 2 FOR CRYPTOSPORIDIUM TREATMENT</t>
    </r>
    <r>
      <rPr>
        <sz val="9"/>
        <rFont val="Arial"/>
        <family val="2"/>
      </rPr>
      <t xml:space="preserve"> (surface water treatment plants)</t>
    </r>
  </si>
  <si>
    <t>Were the combined filter effluent (CFE) turbidity levels reported on Page 3 less than or equal to 0.15 NTU in at least 95% of the 4-hour CFE measurements?</t>
  </si>
  <si>
    <r>
      <t>Were each of the individual filter turbidity effluent turbidity levels less than or equal to 0.15 NTU in at least 95% of samples measured in 15-minute intervals? (Answer question on Page 8 LT2 Bin2).</t>
    </r>
    <r>
      <rPr>
        <b/>
        <sz val="10"/>
        <rFont val="Arial"/>
        <family val="2"/>
      </rPr>
      <t xml:space="preserve"> If 'No', complete Page 3A IF Turbidity Exc.</t>
    </r>
  </si>
  <si>
    <r>
      <t xml:space="preserve">Was any individual filter effluent turbidity level greater than 0.3 NTU in 2 consecutive readings 15 minutes apart? (Answer question on P 8 LT2 Bin2). </t>
    </r>
    <r>
      <rPr>
        <b/>
        <sz val="10"/>
        <rFont val="Arial"/>
        <family val="2"/>
      </rPr>
      <t>If 'Yes', complete P 3A IF Turbidity Exc</t>
    </r>
    <r>
      <rPr>
        <sz val="10"/>
        <rFont val="Arial"/>
        <family val="2"/>
      </rPr>
      <t xml:space="preserve"> in addition to P 8 LT2 Bin2.</t>
    </r>
  </si>
  <si>
    <t>WATER SYSTEM MONTHLY SUMMARY</t>
  </si>
  <si>
    <t>PURCHASED WATER</t>
  </si>
  <si>
    <t>SOLD WATER</t>
  </si>
  <si>
    <t>From whom? (PWS ID)</t>
  </si>
  <si>
    <t>How much? (gallons)</t>
  </si>
  <si>
    <t>To whom? (PWS ID)</t>
  </si>
  <si>
    <t>DISTRIBUTION RESIDUAL DISINFECTANT CONCENTRATION</t>
  </si>
  <si>
    <t>APPLICABLE TO ALL WATER SYSTEMS</t>
  </si>
  <si>
    <r>
      <t>ANALYTE CODE</t>
    </r>
    <r>
      <rPr>
        <u/>
        <sz val="10"/>
        <rFont val="Arial"/>
        <family val="2"/>
      </rPr>
      <t xml:space="preserve"> 0999</t>
    </r>
  </si>
  <si>
    <t>Number of days of operation . . . . . . . . . . . . . . . . . . . . . . . . .</t>
  </si>
  <si>
    <r>
      <t>Free Chlorine</t>
    </r>
    <r>
      <rPr>
        <sz val="10"/>
        <rFont val="Arial"/>
        <family val="2"/>
      </rPr>
      <t xml:space="preserve"> (for all disinfectants except chloramine)</t>
    </r>
  </si>
  <si>
    <t>Were samples taken each day of operation?  (Y/N) . . . . .</t>
  </si>
  <si>
    <t xml:space="preserve">Number of samples under 0.2 mg/L . . . . . . . . . . . . . . . . . . . . . </t>
  </si>
  <si>
    <t>Number of samples taken:</t>
  </si>
  <si>
    <r>
      <t>Total Chlorine</t>
    </r>
    <r>
      <rPr>
        <sz val="10"/>
        <rFont val="Arial"/>
        <family val="2"/>
      </rPr>
      <t xml:space="preserve"> (when disinfectant is chloramine)</t>
    </r>
  </si>
  <si>
    <t>FREE  . . . . . . . . . . . . . . . . . . . . . . . . . . . . . . . . . . . . . . . . . . . . . . . . . . . . . . . . . . . . . . . .</t>
  </si>
  <si>
    <t>Number of samples under 0.5 mg/L . . . . . . . . . . . . . . . . . . . . . . . . . .</t>
  </si>
  <si>
    <t>TOTAL  . . . . . . . . . . . . . . . . . . . . . . . . . . . . . . . . . . . . . . . . . .</t>
  </si>
  <si>
    <t>Number of days samples were collected:</t>
  </si>
  <si>
    <t>Lowest single FREE chlorine reading  . . . . . . . . . . . . . . . . . . . . . . . . . . . . . . . . .</t>
  </si>
  <si>
    <t xml:space="preserve">   FREE</t>
  </si>
  <si>
    <t>Lowest single TOTAL chlorine reading . . . . . . . . . . . . . . . . . . . . . . . . . . . . . . . . .</t>
  </si>
  <si>
    <t xml:space="preserve">   TOTAL</t>
  </si>
  <si>
    <r>
      <t>DAILY SUMMARY OF WATER PURCHASES AND SALES</t>
    </r>
    <r>
      <rPr>
        <sz val="9"/>
        <rFont val="Arial"/>
        <family val="2"/>
      </rPr>
      <t xml:space="preserve"> (optional)</t>
    </r>
  </si>
  <si>
    <t>Use this page to make note of any unusual conditions</t>
  </si>
  <si>
    <t>Reference Page</t>
  </si>
  <si>
    <t>Section of Reference Page</t>
  </si>
  <si>
    <t>Comments</t>
  </si>
  <si>
    <t>Plant Summary Sheet</t>
  </si>
  <si>
    <t>Summary Sheet</t>
  </si>
  <si>
    <t>DOW Form 0801</t>
  </si>
  <si>
    <t>April 2017</t>
  </si>
  <si>
    <t xml:space="preserve">PWS ID : </t>
  </si>
  <si>
    <t>PLANT ID:</t>
  </si>
  <si>
    <t>AGENCY INTEREST:</t>
  </si>
  <si>
    <t>ANNUAL WATER SYSTEM DATA</t>
  </si>
  <si>
    <t>TO BE SUBMITTED WITH DECEMBER MOR</t>
  </si>
  <si>
    <t>NUMBER OF METERS:</t>
  </si>
  <si>
    <t>SYSTEM POPULATION:</t>
  </si>
  <si>
    <t>RESIDENTIAL:</t>
  </si>
  <si>
    <t>COMMERCIAL:</t>
  </si>
  <si>
    <t xml:space="preserve">TOTAL POPULATION SERVED IN CONSECUTIVE </t>
  </si>
  <si>
    <t>INDUSTRIAL:</t>
  </si>
  <si>
    <r>
      <t xml:space="preserve">SYSTEMS: </t>
    </r>
    <r>
      <rPr>
        <b/>
        <sz val="8"/>
        <rFont val="Arial"/>
        <family val="2"/>
      </rPr>
      <t>(REFER TO TABLE BELOW)</t>
    </r>
  </si>
  <si>
    <t>DATE:</t>
  </si>
  <si>
    <t>CONSECUTIVE SYSTEM POPULATIONS:</t>
  </si>
  <si>
    <t>WATER SOLD (Gallons)</t>
  </si>
  <si>
    <r>
      <t xml:space="preserve">(INFORMATION ON THE SYSTEMS/AREA TO WHOM YOU </t>
    </r>
    <r>
      <rPr>
        <b/>
        <u/>
        <sz val="9"/>
        <rFont val="Arial"/>
        <family val="2"/>
      </rPr>
      <t>SELL</t>
    </r>
    <r>
      <rPr>
        <b/>
        <sz val="8"/>
        <rFont val="Arial"/>
        <family val="2"/>
      </rPr>
      <t xml:space="preserve"> WATER)</t>
    </r>
  </si>
  <si>
    <t>PWSID #</t>
  </si>
  <si>
    <t># OF METERS</t>
  </si>
  <si>
    <t>Residential</t>
  </si>
  <si>
    <t>Commercial</t>
  </si>
  <si>
    <t>Industrial</t>
  </si>
  <si>
    <t>Wholesale</t>
  </si>
  <si>
    <t>CONTACT INFORMATION:</t>
  </si>
  <si>
    <t>WATER SYSTEM</t>
  </si>
  <si>
    <t>MANAGER/SUPERINT.</t>
  </si>
  <si>
    <t>PLANT A</t>
  </si>
  <si>
    <t>PLANT B</t>
  </si>
  <si>
    <t>NAME</t>
  </si>
  <si>
    <t>TITLE</t>
  </si>
  <si>
    <t>OFFICE PHONE</t>
  </si>
  <si>
    <t>CELL PHONE</t>
  </si>
  <si>
    <t>AFTER-HOURS PHONE</t>
  </si>
  <si>
    <t>MAILING ADDRESS</t>
  </si>
  <si>
    <t>EMAIL ADDRESS</t>
  </si>
  <si>
    <t>PLANT C</t>
  </si>
  <si>
    <t>DISTRIBUTION</t>
  </si>
  <si>
    <t>MOR CONTACT</t>
  </si>
  <si>
    <t>Y/N</t>
  </si>
  <si>
    <t xml:space="preserve">Coagulant </t>
  </si>
  <si>
    <t xml:space="preserve">pH adjustment </t>
  </si>
  <si>
    <t>Disinfection</t>
  </si>
  <si>
    <t>Ammonia</t>
  </si>
  <si>
    <t>Carbon</t>
  </si>
  <si>
    <t>Permanganate</t>
  </si>
  <si>
    <t>Corrosion inhibition</t>
  </si>
  <si>
    <t>Alum liquid</t>
  </si>
  <si>
    <t>Anhydrous ammonia</t>
  </si>
  <si>
    <t>Dry carbon, coal based</t>
  </si>
  <si>
    <t>Alum, dry</t>
  </si>
  <si>
    <t>Aqueous ammonia</t>
  </si>
  <si>
    <t>Dry carbon, coconut based</t>
  </si>
  <si>
    <t xml:space="preserve">Carbon dioxide </t>
  </si>
  <si>
    <t xml:space="preserve">Dry carbon, wood based </t>
  </si>
  <si>
    <t>Aluminum chloride</t>
  </si>
  <si>
    <t>Caustic soda (sodium hydroxide)</t>
  </si>
  <si>
    <t>Chlorine gas</t>
  </si>
  <si>
    <t>Dry carbon, type unknown</t>
  </si>
  <si>
    <t>Hydrochloric acid</t>
  </si>
  <si>
    <t xml:space="preserve">Liquid carbon solution </t>
  </si>
  <si>
    <t xml:space="preserve">Silicates </t>
  </si>
  <si>
    <t>Ferric chloride</t>
  </si>
  <si>
    <t>Ferric sulfate</t>
  </si>
  <si>
    <t xml:space="preserve">pDADMAC, organic polymer </t>
  </si>
  <si>
    <t>Polyaluminum chloride</t>
  </si>
  <si>
    <t>Sulfuric acid</t>
  </si>
  <si>
    <t>Polyamine, organic polymer</t>
  </si>
  <si>
    <r>
      <t xml:space="preserve">DISTRIBUTION DISINFECTANT RESIDUAL </t>
    </r>
    <r>
      <rPr>
        <sz val="9.5"/>
        <rFont val="Arial"/>
        <family val="2"/>
      </rPr>
      <t>(Applicable to all water systems with distribution systems)</t>
    </r>
  </si>
  <si>
    <t>Aluminum sulfate organic polymer blend</t>
  </si>
  <si>
    <t>Aluminum chlorohydrate (ACH)</t>
  </si>
  <si>
    <t>Aluminum chlorohydrate polymer blend</t>
  </si>
  <si>
    <t>Polyacrylamide</t>
  </si>
  <si>
    <t>Polyaluminum, sulfated</t>
  </si>
  <si>
    <t>Calcium oxide (quicklime)</t>
  </si>
  <si>
    <t>Lime (hydrated)</t>
  </si>
  <si>
    <t>Magnesium hydroxide</t>
  </si>
  <si>
    <t>Calcium hypochlorite (tablet/granular)</t>
  </si>
  <si>
    <t>Generated sodium hypochlorite (bleach)</t>
  </si>
  <si>
    <t>Generated sodium hypochlorite (MIOX or other)</t>
  </si>
  <si>
    <t>Sodium hypochlorite (bleach, 12.5 percent)</t>
  </si>
  <si>
    <r>
      <t>Potassium permanganate (KMnO</t>
    </r>
    <r>
      <rPr>
        <vertAlign val="subscript"/>
        <sz val="10"/>
        <rFont val="Arial"/>
        <family val="2"/>
      </rPr>
      <t>4</t>
    </r>
    <r>
      <rPr>
        <sz val="10"/>
        <rFont val="Arial"/>
        <family val="2"/>
      </rPr>
      <t>)</t>
    </r>
  </si>
  <si>
    <r>
      <t>Sodium permanganate (NaMnO</t>
    </r>
    <r>
      <rPr>
        <vertAlign val="subscript"/>
        <sz val="10"/>
        <rFont val="Arial"/>
        <family val="2"/>
      </rPr>
      <t>4</t>
    </r>
    <r>
      <rPr>
        <sz val="10"/>
        <rFont val="Arial"/>
        <family val="2"/>
      </rPr>
      <t>)</t>
    </r>
  </si>
  <si>
    <t>Orthophosphate (zinc)</t>
  </si>
  <si>
    <t>Orthophosphate (sodium)</t>
  </si>
  <si>
    <t>Orthophosphate (phosphoric acid)</t>
  </si>
  <si>
    <t>Polyphosphate</t>
  </si>
  <si>
    <t>Blended poly / orthophosphate</t>
  </si>
  <si>
    <t>Sodium bicarbonate</t>
  </si>
  <si>
    <t>Sodium carbonate (soda ash)</t>
  </si>
  <si>
    <t>Sequestrant</t>
  </si>
  <si>
    <t>Chemical Form</t>
  </si>
  <si>
    <t>Monthly Minimum Disinfectant Residual:</t>
  </si>
  <si>
    <t>1.  EPTDS chlorine dioxide MRDL non-acute violation when 2 consecutive daily samples exceed the MRDL of 0.8 mg/L.</t>
  </si>
  <si>
    <r>
      <t xml:space="preserve">2.  Distribution chlorine dioxide MRDL acute violation when an EPTDS sample exceeds the MRDL </t>
    </r>
    <r>
      <rPr>
        <u/>
        <sz val="10"/>
        <rFont val="Arial"/>
        <family val="2"/>
      </rPr>
      <t>and</t>
    </r>
    <r>
      <rPr>
        <sz val="10"/>
        <rFont val="Arial"/>
        <family val="2"/>
      </rPr>
      <t xml:space="preserve"> 1 or more of the 3 follow-up samples taken the following day in the distribution system exceeds the MRDL.</t>
    </r>
  </si>
  <si>
    <t>3.  Additional distribution chlorite sampling is triggered by exceeding the chlorite MCL exceedance of 1.0 mg/L at the EPTDS; the additional sampling must be done by a certified lab and submitted on the chlorite lab data compliance form, which can be found at the DOW website: www.tinyurl.com/DrinkingWaterCompliance.</t>
  </si>
  <si>
    <t>Purchased gallons</t>
  </si>
  <si>
    <t>Sold gallons</t>
  </si>
  <si>
    <t>PURCHASED or SOLD WATER VOLUME</t>
  </si>
  <si>
    <t>Type CC PWSID here</t>
  </si>
  <si>
    <t>P1 Chemicals</t>
  </si>
  <si>
    <t>P2 Water Quality</t>
  </si>
  <si>
    <t>P3 Turbidity</t>
  </si>
  <si>
    <t>P4 Filters</t>
  </si>
  <si>
    <t>P5 Disinfectant Residual</t>
  </si>
  <si>
    <t>P6 Chlorite and Chlorine Dioxide</t>
  </si>
  <si>
    <t>P7 Fluoride</t>
  </si>
  <si>
    <t>P8 LT2 Bin 2</t>
  </si>
  <si>
    <t>P9 UV</t>
  </si>
  <si>
    <t>P10 Clarifiers</t>
  </si>
  <si>
    <t>Treatment plants only: Was plant operating this month?</t>
  </si>
  <si>
    <r>
      <t xml:space="preserve">To calculate the fluoride dosage rate, use </t>
    </r>
    <r>
      <rPr>
        <u/>
        <sz val="10"/>
        <color theme="0" tint="-0.14999847407452621"/>
        <rFont val="Arial"/>
        <family val="2"/>
      </rPr>
      <t>this worksheet</t>
    </r>
    <r>
      <rPr>
        <sz val="10"/>
        <color theme="0" tint="-0.14999847407452621"/>
        <rFont val="Arial"/>
        <family val="2"/>
      </rPr>
      <t>.</t>
    </r>
  </si>
  <si>
    <t>Was individual filter level greater than 2.0 NTU in two consecutive measurements in two consecutive months? (Y/N) . . . . . . . . . . .</t>
  </si>
  <si>
    <r>
      <rPr>
        <b/>
        <sz val="11.5"/>
        <rFont val="Arial"/>
        <family val="2"/>
      </rPr>
      <t xml:space="preserve">INDIVIDUAL FILTER EFFLUENT TURBIDITY DAILY MAXIMUM </t>
    </r>
    <r>
      <rPr>
        <b/>
        <sz val="12"/>
        <rFont val="Arial"/>
        <family val="2"/>
      </rPr>
      <t xml:space="preserve">
</t>
    </r>
    <r>
      <rPr>
        <sz val="10"/>
        <rFont val="Arial"/>
        <family val="2"/>
      </rPr>
      <t>(Required for surface water treatment plants; optional for ground water plants)</t>
    </r>
  </si>
  <si>
    <r>
      <rPr>
        <b/>
        <sz val="11.5"/>
        <rFont val="Arial"/>
        <family val="2"/>
      </rPr>
      <t xml:space="preserve">INDIVIDUAL FILTER EFFLUENT TURBIDITY DAILY MAXIMUM </t>
    </r>
    <r>
      <rPr>
        <b/>
        <sz val="12"/>
        <rFont val="Arial"/>
        <family val="2"/>
      </rPr>
      <t xml:space="preserve">
</t>
    </r>
    <r>
      <rPr>
        <sz val="10"/>
        <rFont val="Arial"/>
        <family val="2"/>
      </rPr>
      <t>(Continued)</t>
    </r>
  </si>
  <si>
    <r>
      <rPr>
        <b/>
        <sz val="11.5"/>
        <rFont val="Arial"/>
        <family val="2"/>
      </rPr>
      <t>SEDIMENTATION BASIN EFFLUENT DAILY MAXIMUM</t>
    </r>
    <r>
      <rPr>
        <b/>
        <sz val="12"/>
        <rFont val="Arial"/>
        <family val="2"/>
      </rPr>
      <t xml:space="preserve">
</t>
    </r>
    <r>
      <rPr>
        <sz val="9"/>
        <rFont val="Arial"/>
        <family val="2"/>
      </rPr>
      <t>Surface water treatment plants</t>
    </r>
    <r>
      <rPr>
        <b/>
        <sz val="9"/>
        <rFont val="Arial"/>
        <family val="2"/>
      </rPr>
      <t xml:space="preserve"> -</t>
    </r>
    <r>
      <rPr>
        <sz val="9"/>
        <rFont val="Arial"/>
        <family val="2"/>
      </rPr>
      <t xml:space="preserve"> Report each basin</t>
    </r>
  </si>
  <si>
    <t>E.  Bin 2 systems only: any one filter has a measured turbidity level of greater than 0.15 NTU in 5% or more measurements in a month, taken 15 minutes apart.</t>
  </si>
  <si>
    <t>Filter number, the turbidity measurements in excess of 0.15 NTU, the date(s) of exceedances and complete the appropriate sections of P8 LT2 Bin 2 of this MOR. Contact the regional Division of Water Technical Assistant within 24 hours.</t>
  </si>
  <si>
    <t>Filter number, the turbidity measurements in excess of 0.3 NTU, the date of exceedance, and complete P8 LT2 Bin2. Contact the regional Division of Water Technical Assistant within 24 hours.</t>
  </si>
  <si>
    <r>
      <t>*</t>
    </r>
    <r>
      <rPr>
        <b/>
        <sz val="12"/>
        <rFont val="Arial"/>
        <family val="2"/>
      </rPr>
      <t xml:space="preserve">NOTE: </t>
    </r>
    <r>
      <rPr>
        <sz val="12"/>
        <rFont val="Arial"/>
        <family val="2"/>
      </rPr>
      <t xml:space="preserve"> The "Number of Turbidity Samples Required" is the number of hours the plant operated divided by 4, rounded up to the next whole number. It is auto-calculated in this sheet.</t>
    </r>
  </si>
  <si>
    <r>
      <t>CFE Turbidity violations require Tier 2 Public Notices (PN) by default, but may be elevated to require a Tier 1 PN by DOW. In addition, turbidity violations are automatically elevated if the PWS does not consult with DOW within 24 hours.</t>
    </r>
    <r>
      <rPr>
        <b/>
        <sz val="10"/>
        <rFont val="Arial"/>
        <family val="2"/>
      </rPr>
      <t xml:space="preserve"> In such cases, PWS must issue a PN within the next 24 hours. </t>
    </r>
  </si>
  <si>
    <t>Total lbs. chlorine dioxide added:</t>
  </si>
  <si>
    <t>Was there a failure of plant tap on-line chlorine analyzer?</t>
  </si>
  <si>
    <t>If so, were grab samples collected every 4 hours of operation?</t>
  </si>
  <si>
    <r>
      <t xml:space="preserve">PLANT TAP
</t>
    </r>
    <r>
      <rPr>
        <sz val="8"/>
        <rFont val="Arial"/>
        <family val="2"/>
      </rPr>
      <t>(SMALL GW SYSTEMS ONLY)</t>
    </r>
    <r>
      <rPr>
        <b/>
        <sz val="11"/>
        <rFont val="Arial"/>
        <family val="2"/>
      </rPr>
      <t>*</t>
    </r>
  </si>
  <si>
    <t>* All other systems should report plant tap chlorine in the 'Lowest Daily Chlorine Residual' columns W and X</t>
  </si>
  <si>
    <t>Max TMP</t>
  </si>
  <si>
    <t>Unit 1</t>
  </si>
  <si>
    <t>Unit 2</t>
  </si>
  <si>
    <t>Unit 3</t>
  </si>
  <si>
    <t>Unit 4</t>
  </si>
  <si>
    <t>Unit 5</t>
  </si>
  <si>
    <t>Unit 6</t>
  </si>
  <si>
    <t>psi/min Max</t>
  </si>
  <si>
    <t>Instructions:</t>
  </si>
  <si>
    <t>If PDT limit is exceeded, the unit must be taken offline and repaired before being put back into service (add detailed repair notes to comments page of this MOR).</t>
  </si>
  <si>
    <t xml:space="preserve">PDT Upper Control Limit: </t>
  </si>
  <si>
    <t xml:space="preserve">TMP Upper Control Limit: </t>
  </si>
  <si>
    <t>MEMBRANE FILTRATION</t>
  </si>
  <si>
    <t>Record daily maximum membrane pressure decay test (PDT) and trans-membrane pressure (TMP).</t>
  </si>
  <si>
    <t>Max Mem. PDT</t>
  </si>
  <si>
    <t>1. Was the failure due to unusual and short-term circumstances that could not be reasonably prevented through optimized treatment plant design, operation and maintenance?</t>
  </si>
  <si>
    <t>Unit 7</t>
  </si>
  <si>
    <t>Optional for 1-log LT2 cr.:
CT (minutes)</t>
  </si>
  <si>
    <t xml:space="preserve">Water systems pre-approved to use chlorine dioxide contact time (CT) for 1-log credit: </t>
  </si>
  <si>
    <t xml:space="preserve">Did all water treated meet the chlorine dioxide CT indicated on 'P6 ChlorineDioxide'?  </t>
  </si>
  <si>
    <t xml:space="preserve"># Times PDT Max exceeded PDT Upper Control Limit: </t>
  </si>
  <si>
    <t xml:space="preserve"># Times TMP Max exceeded PDT Upper Control Limit: </t>
  </si>
  <si>
    <t>Total number of measurements:</t>
  </si>
  <si>
    <t>Compliance check: they must meet "state-specified performance requirement 95% of time." So, if we calculate O37/D37, and O38/D37, and ensure both are less than 5% of the time, they are in compliance.</t>
  </si>
  <si>
    <t>(re: 40 CFR 141.173(c) and 141.551(a-b))</t>
  </si>
  <si>
    <t>F</t>
  </si>
  <si>
    <t>40 CFR 141.65(a)</t>
  </si>
  <si>
    <t>40 CFR 141.64(a)</t>
  </si>
  <si>
    <t>40 CFR 141.403(b)(3)</t>
  </si>
  <si>
    <t>40 CFR 141.75(b)(2)</t>
  </si>
  <si>
    <t>40 CFR 141.132(b)(2)</t>
  </si>
  <si>
    <t>Did all water from this plant flow through a presedimentation basin with coagulation, and was the presedimentation basin operated continuously? (option for 0.5 log credit; must be approved by DOW first)*</t>
  </si>
  <si>
    <r>
      <t>* To use presedimentation credit, water systems must have prior approval from DOW and must maintain the following documentation on site (re: 40 CFR 141.717(a)): documentation that the presedimentation basin was in continuous operation and treated the entire plant flow; documentation of continuous addition of coagulant to basin; and daily 0.5-log mean reduction of turbidity, calculated as follows: log</t>
    </r>
    <r>
      <rPr>
        <vertAlign val="subscript"/>
        <sz val="7.5"/>
        <rFont val="Arial"/>
        <family val="2"/>
      </rPr>
      <t>10</t>
    </r>
    <r>
      <rPr>
        <sz val="7.5"/>
        <rFont val="Arial"/>
        <family val="2"/>
      </rPr>
      <t xml:space="preserve">(monthly mean of daily influent turbidity) </t>
    </r>
    <r>
      <rPr>
        <b/>
        <sz val="7.5"/>
        <rFont val="Arial"/>
        <family val="2"/>
      </rPr>
      <t>-</t>
    </r>
    <r>
      <rPr>
        <sz val="7.5"/>
        <rFont val="Arial"/>
        <family val="2"/>
      </rPr>
      <t xml:space="preserve"> log</t>
    </r>
    <r>
      <rPr>
        <vertAlign val="subscript"/>
        <sz val="7.5"/>
        <rFont val="Arial"/>
        <family val="2"/>
      </rPr>
      <t>10</t>
    </r>
    <r>
      <rPr>
        <sz val="7.5"/>
        <rFont val="Arial"/>
        <family val="2"/>
      </rPr>
      <t>(monthly mean of daily effluent turbidity).</t>
    </r>
  </si>
  <si>
    <t>Filter Washwater</t>
  </si>
  <si>
    <t>Clarifier Rinsewater</t>
  </si>
  <si>
    <t>Total raw water treated</t>
  </si>
  <si>
    <t>Incoming Water</t>
  </si>
  <si>
    <t>Sold Water</t>
  </si>
  <si>
    <t>Non-Revenue Water Losses</t>
  </si>
  <si>
    <t>Flushing - Other</t>
  </si>
  <si>
    <t>Flushing - Booster Pump Station</t>
  </si>
  <si>
    <t>Flushing - Hydrants</t>
  </si>
  <si>
    <t>Line Breaks - Main</t>
  </si>
  <si>
    <t>Line Breaks - Service</t>
  </si>
  <si>
    <t>Line Breaks - Excavation</t>
  </si>
  <si>
    <t>Flushing - DBP Maintenance</t>
  </si>
  <si>
    <t>Fire Department Usage</t>
  </si>
  <si>
    <t>WTP Usage</t>
  </si>
  <si>
    <t>WWTP Usage</t>
  </si>
  <si>
    <t>Tank Overflows (non-DBP)</t>
  </si>
  <si>
    <t>Theft (documented)</t>
  </si>
  <si>
    <t>Water Sold: Customers</t>
  </si>
  <si>
    <t>Bulk Loading Stations</t>
  </si>
  <si>
    <t>Public Authorities (FD, pools, parks, etc.)</t>
  </si>
  <si>
    <t>Other Sales</t>
  </si>
  <si>
    <t>Total Water Loss</t>
  </si>
  <si>
    <t>Total Water Treated + Purchased</t>
  </si>
  <si>
    <t>Total Water Sold</t>
  </si>
  <si>
    <t>Totals</t>
  </si>
  <si>
    <t>Percent Revenue-Earning Water</t>
  </si>
  <si>
    <t>Routine Non-Revenue Water Losses</t>
  </si>
  <si>
    <t>Unplanned Non-Revenue Losses</t>
  </si>
  <si>
    <t>Calculations</t>
  </si>
  <si>
    <t>Averages:</t>
  </si>
  <si>
    <t>Total Purchased</t>
  </si>
  <si>
    <t>Total Sold</t>
  </si>
  <si>
    <t>WATER LOSS WORKSHEET</t>
  </si>
  <si>
    <t>Loss - Unknown Reason</t>
  </si>
  <si>
    <t>Non-Revenue Loss:
Routine</t>
  </si>
  <si>
    <t>Non-Revenue Loss: Unplanned</t>
  </si>
  <si>
    <r>
      <t xml:space="preserve">Percent Non-Revenue Water [Water Loss]
</t>
    </r>
    <r>
      <rPr>
        <sz val="8"/>
        <rFont val="Arial"/>
        <family val="2"/>
      </rPr>
      <t>(=sum of Routine and Unplanned Water Losses)</t>
    </r>
  </si>
  <si>
    <r>
      <t xml:space="preserve">Water purchased
</t>
    </r>
    <r>
      <rPr>
        <sz val="8"/>
        <rFont val="Arial"/>
        <family val="2"/>
      </rPr>
      <t>(fill out Purchase Sale Worksheet)</t>
    </r>
  </si>
  <si>
    <r>
      <t xml:space="preserve">Water Sold: Wholesale
</t>
    </r>
    <r>
      <rPr>
        <sz val="8"/>
        <rFont val="Arial"/>
        <family val="2"/>
      </rPr>
      <t>(fill out Purchase Sale Worksheet)</t>
    </r>
  </si>
  <si>
    <t xml:space="preserve">If Yes,  (1) were individual filter effluent turbidity grab samples collected every four hours of operation?  . . . . . . . . . . . . . . </t>
  </si>
  <si>
    <t xml:space="preserve">           (2) was the continuous monitoring equipment repaired within 5 working days (or 14 days for systems serving fewer than 10,000 people)?</t>
  </si>
  <si>
    <r>
      <t xml:space="preserve">HOURS PLANT </t>
    </r>
    <r>
      <rPr>
        <b/>
        <sz val="10"/>
        <rFont val="Arial"/>
        <family val="2"/>
      </rPr>
      <t>OPERATED</t>
    </r>
    <r>
      <rPr>
        <b/>
        <sz val="11"/>
        <rFont val="Arial"/>
        <family val="2"/>
      </rPr>
      <t xml:space="preserve">
</t>
    </r>
    <r>
      <rPr>
        <b/>
        <sz val="8"/>
        <color theme="1" tint="0.499984740745262"/>
        <rFont val="Arial"/>
        <family val="2"/>
      </rPr>
      <t>(Enter data for each day water was withdrawn at intake)</t>
    </r>
  </si>
  <si>
    <r>
      <t>*</t>
    </r>
    <r>
      <rPr>
        <b/>
        <sz val="10"/>
        <color rgb="FFFF0000"/>
        <rFont val="Arial"/>
        <family val="2"/>
      </rPr>
      <t xml:space="preserve"> % ACTIVE INGREDIENT</t>
    </r>
    <r>
      <rPr>
        <sz val="10"/>
        <color rgb="FFFF0000"/>
        <rFont val="Arial"/>
        <family val="2"/>
      </rPr>
      <t xml:space="preserve">: Filling out this section is necessary for the worksheet to calculate PPM. If the water system calculates the number of pounds of active ingredient added before filling out the MOR (e.g., on a backing sheet), then type '100' in this box. If the 'LBS' column lists the pounds of chemical added (no calculations performed before filling out the MOR), then use the product label to determine what the % active ingredient is, and enter that number. Do not convert to decimal format (e.g., if the label states "11.3% active ingredient", type 11.3 in the box). If using polyaluminum coagulants, use 100% in the 'COAGULANT' column. Contact your regional TA with questions; in addition, contact your regional TA for assistance with chemicals with more than one active ingredient. </t>
    </r>
  </si>
  <si>
    <t xml:space="preserve">Avg. daily residual disinfectant:  </t>
  </si>
  <si>
    <t>Ensure result is recorded on collection date</t>
  </si>
  <si>
    <t>Instruction for certified lab results:</t>
  </si>
  <si>
    <t>P6 Table</t>
  </si>
  <si>
    <t>Chlorine dioxide MRDL exceedance</t>
  </si>
  <si>
    <t>Chlorite MCL exceedance</t>
  </si>
  <si>
    <t>Version: 2025.1</t>
  </si>
  <si>
    <t>June, 2025</t>
  </si>
  <si>
    <r>
      <t xml:space="preserve">CORROSION INHIBITOR
</t>
    </r>
    <r>
      <rPr>
        <sz val="9"/>
        <rFont val="Arial"/>
        <family val="2"/>
      </rPr>
      <t xml:space="preserve">(Orthophosphate or blended phosphate that contains </t>
    </r>
    <r>
      <rPr>
        <b/>
        <i/>
        <sz val="9"/>
        <rFont val="Arial"/>
        <family val="2"/>
      </rPr>
      <t xml:space="preserve">at least </t>
    </r>
    <r>
      <rPr>
        <sz val="9"/>
        <rFont val="Arial"/>
        <family val="2"/>
      </rPr>
      <t>30% orthophosphate)**</t>
    </r>
  </si>
  <si>
    <r>
      <t xml:space="preserve">
DISINFECTANT 
</t>
    </r>
    <r>
      <rPr>
        <sz val="10"/>
        <rFont val="Arial"/>
        <family val="2"/>
      </rPr>
      <t>(post)</t>
    </r>
  </si>
  <si>
    <t>Table of Contents</t>
  </si>
  <si>
    <t>Click the link to jump to the page</t>
  </si>
  <si>
    <t>Return to Bookmarks</t>
  </si>
  <si>
    <t>P6 Chlorine Dioxide</t>
  </si>
  <si>
    <t>P8 LT2 Bin2</t>
  </si>
  <si>
    <t>Who must complete?</t>
  </si>
  <si>
    <t>Key pages for most systems:</t>
  </si>
  <si>
    <t>P10 Membrane Filtration</t>
  </si>
  <si>
    <t>P11 Clarifiers</t>
  </si>
  <si>
    <t>P12 Water Loss</t>
  </si>
  <si>
    <t>P3A Individual Filter Turbidity Exceedance</t>
  </si>
  <si>
    <t>Comments Page</t>
  </si>
  <si>
    <t>Annual Data Form</t>
  </si>
  <si>
    <t>Purchase/Sale Worksheet</t>
  </si>
  <si>
    <t>Treatment plants</t>
  </si>
  <si>
    <t>Treatment plants (optional)</t>
  </si>
  <si>
    <t>All systems</t>
  </si>
  <si>
    <t>All systems (optional)</t>
  </si>
  <si>
    <t xml:space="preserve">Pages to fill out as needed </t>
  </si>
  <si>
    <t>Who completes?</t>
  </si>
  <si>
    <t>Treatment plants (optional for most GW systems)</t>
  </si>
  <si>
    <t>Treatment plants using chlorine dioxide</t>
  </si>
  <si>
    <t>Treatment plants using fluoride</t>
  </si>
  <si>
    <t>Treatment plants using membranes</t>
  </si>
  <si>
    <t>All systems (submit annually by Jan. 10)</t>
  </si>
  <si>
    <t>Return to Book-marks</t>
  </si>
  <si>
    <t>Cover Sheet</t>
  </si>
  <si>
    <t>Monthly Operating Report</t>
  </si>
  <si>
    <t>Was the problem corrected within 5 days (14 days for GW sys.)?</t>
  </si>
  <si>
    <r>
      <rPr>
        <b/>
        <sz val="11.5"/>
        <rFont val="Arial"/>
        <family val="2"/>
      </rPr>
      <t>Requirements for LT2ESWTR</t>
    </r>
    <r>
      <rPr>
        <b/>
        <sz val="12"/>
        <rFont val="Arial"/>
        <family val="2"/>
      </rPr>
      <t xml:space="preserve">
</t>
    </r>
    <r>
      <rPr>
        <sz val="8"/>
        <rFont val="Arial"/>
        <family val="2"/>
      </rPr>
      <t>(Required for all surface water treatment plants classified as Bin 2 or higher, and using turbidity toolbox options for compliance)</t>
    </r>
  </si>
  <si>
    <t xml:space="preserve">LT2 ESWTR Bin 2, 3, or 4 Systems using turbidity toolbox options only: </t>
  </si>
  <si>
    <t>Is this system classified in Bin 2 (or higher) under the Long Term 2 Enhanced Surface Water Treatment Rule (required treatment or turbidity control for Cryptosporidium)?</t>
  </si>
  <si>
    <t>Bin 2, 3, or 4 Treatment plants</t>
  </si>
  <si>
    <t>Bin 2, 3, or 4 Treatment plants using UV</t>
  </si>
  <si>
    <t>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</si>
</sst>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General_)"/>
    <numFmt numFmtId="165" formatCode="0.0"/>
    <numFmt numFmtId="166" formatCode="0.000"/>
    <numFmt numFmtId="167" formatCode="#,##0.0"/>
    <numFmt numFmtId="168" formatCode="&quot;Y&quot;\:&quot;N&quot;"/>
    <numFmt numFmtId="169" formatCode=";;;"/>
    <numFmt numFmtId="170" formatCode="m/d/yyyy;@"/>
    <numFmt numFmtId="171" formatCode="mm/dd/yy;@"/>
    <numFmt numFmtId="172" formatCode="mm/yyyy"/>
    <numFmt numFmtId="173" formatCode="0.0%"/>
    <numFmt numFmtId="174" formatCode="[$-F400]h:mm:ss\ AM/PM"/>
    <numFmt numFmtId="175" formatCode="_(* #,##0.0_);_(* \(#,##0.0\);_(* &quot;-&quot;??_);_(@_)"/>
    <numFmt numFmtId="176" formatCode="_(* #,##0_);_(* \(#,##0\);_(* &quot;-&quot;??_);_(@_)"/>
    <numFmt numFmtId="177" formatCode="[&lt;=9999999]###\-####;###\-###\-####"/>
  </numFmts>
  <fonts count="137">
    <font>
      <sz val="10"/>
      <name val="Arial"/>
    </font>
    <font>
      <sz val="11"/>
      <color theme="1"/>
      <name val="Calibri"/>
      <family val="2"/>
      <scheme val="minor"/>
    </font>
    <font>
      <sz val="11"/>
      <color theme="1"/>
      <name val="Calibri"/>
      <family val="2"/>
      <scheme val="minor"/>
    </font>
    <font>
      <sz val="10"/>
      <name val="Arial"/>
      <family val="2"/>
    </font>
    <font>
      <sz val="10"/>
      <name val="Albertus Extra Bold"/>
      <family val="2"/>
    </font>
    <font>
      <b/>
      <sz val="10"/>
      <name val="Albertus Extra Bold"/>
      <family val="2"/>
    </font>
    <font>
      <sz val="12"/>
      <name val="Albertus Extra Bold"/>
      <family val="2"/>
    </font>
    <font>
      <b/>
      <sz val="12"/>
      <name val="Albertus Extra Bold"/>
      <family val="2"/>
    </font>
    <font>
      <b/>
      <sz val="12"/>
      <name val="Albertus Extra Bold"/>
    </font>
    <font>
      <b/>
      <sz val="10"/>
      <name val="Courier"/>
      <family val="3"/>
    </font>
    <font>
      <b/>
      <sz val="16"/>
      <name val="Albertus Extra Bold"/>
    </font>
    <font>
      <b/>
      <sz val="10"/>
      <name val="Albertus Extra Bold"/>
    </font>
    <font>
      <sz val="16"/>
      <name val="Albertus Extra Bold"/>
    </font>
    <font>
      <sz val="16"/>
      <name val="Courier"/>
      <family val="3"/>
    </font>
    <font>
      <sz val="16"/>
      <name val="Albertus Extra Bold"/>
      <family val="2"/>
    </font>
    <font>
      <b/>
      <sz val="14"/>
      <name val="Arial"/>
      <family val="2"/>
    </font>
    <font>
      <b/>
      <u/>
      <sz val="12"/>
      <name val="Albertus Extra Bold"/>
    </font>
    <font>
      <b/>
      <sz val="10"/>
      <name val="Arial"/>
      <family val="2"/>
    </font>
    <font>
      <sz val="10"/>
      <name val="Times New Roman"/>
      <family val="1"/>
    </font>
    <font>
      <b/>
      <sz val="16"/>
      <name val="Courier"/>
      <family val="3"/>
    </font>
    <font>
      <b/>
      <sz val="16"/>
      <name val="Arial"/>
      <family val="2"/>
    </font>
    <font>
      <sz val="12"/>
      <name val="Arial"/>
      <family val="2"/>
    </font>
    <font>
      <b/>
      <sz val="12"/>
      <name val="Arial"/>
      <family val="2"/>
    </font>
    <font>
      <sz val="16"/>
      <name val="Arial"/>
      <family val="2"/>
    </font>
    <font>
      <sz val="10"/>
      <name val="Arial"/>
      <family val="2"/>
    </font>
    <font>
      <b/>
      <sz val="18"/>
      <name val="Arial"/>
      <family val="2"/>
    </font>
    <font>
      <sz val="14"/>
      <name val="Arial"/>
      <family val="2"/>
    </font>
    <font>
      <b/>
      <sz val="11"/>
      <name val="Arial"/>
      <family val="2"/>
    </font>
    <font>
      <sz val="18"/>
      <name val="Arial"/>
      <family val="2"/>
    </font>
    <font>
      <b/>
      <sz val="20"/>
      <name val="Arial"/>
      <family val="2"/>
    </font>
    <font>
      <b/>
      <sz val="13"/>
      <name val="Arial"/>
      <family val="2"/>
    </font>
    <font>
      <b/>
      <sz val="22"/>
      <name val="Arial"/>
      <family val="2"/>
    </font>
    <font>
      <sz val="7"/>
      <name val="Arial"/>
      <family val="2"/>
    </font>
    <font>
      <u/>
      <sz val="10"/>
      <name val="Arial"/>
      <family val="2"/>
    </font>
    <font>
      <sz val="8"/>
      <name val="Arial"/>
      <family val="2"/>
    </font>
    <font>
      <sz val="6"/>
      <name val="Arial"/>
      <family val="2"/>
    </font>
    <font>
      <sz val="9"/>
      <name val="Arial"/>
      <family val="2"/>
    </font>
    <font>
      <sz val="11"/>
      <name val="Arial"/>
      <family val="2"/>
    </font>
    <font>
      <b/>
      <sz val="9"/>
      <name val="Arial"/>
      <family val="2"/>
    </font>
    <font>
      <b/>
      <u/>
      <sz val="10"/>
      <name val="Arial"/>
      <family val="2"/>
    </font>
    <font>
      <b/>
      <u/>
      <sz val="9"/>
      <name val="Arial"/>
      <family val="2"/>
    </font>
    <font>
      <b/>
      <sz val="8"/>
      <name val="Arial"/>
      <family val="2"/>
    </font>
    <font>
      <b/>
      <u/>
      <sz val="8"/>
      <name val="Arial"/>
      <family val="2"/>
    </font>
    <font>
      <b/>
      <u/>
      <sz val="11"/>
      <name val="Arial"/>
      <family val="2"/>
    </font>
    <font>
      <u/>
      <sz val="11"/>
      <name val="Arial"/>
      <family val="2"/>
    </font>
    <font>
      <sz val="11"/>
      <color theme="1"/>
      <name val="Calibri"/>
      <family val="2"/>
      <scheme val="minor"/>
    </font>
    <font>
      <b/>
      <sz val="14"/>
      <color rgb="FFFF0000"/>
      <name val="Arial"/>
      <family val="2"/>
    </font>
    <font>
      <b/>
      <sz val="20"/>
      <color rgb="FFFF0000"/>
      <name val="Arial"/>
      <family val="2"/>
    </font>
    <font>
      <b/>
      <sz val="14"/>
      <color rgb="FF333333"/>
      <name val="Arial,Bold"/>
    </font>
    <font>
      <sz val="16"/>
      <color rgb="FFFF0000"/>
      <name val="Arial"/>
      <family val="2"/>
    </font>
    <font>
      <u/>
      <sz val="10"/>
      <color theme="10"/>
      <name val="Arial"/>
      <family val="2"/>
    </font>
    <font>
      <b/>
      <u/>
      <sz val="12"/>
      <name val="Arial"/>
      <family val="2"/>
    </font>
    <font>
      <sz val="10"/>
      <color rgb="FFFF0000"/>
      <name val="Arial"/>
      <family val="2"/>
    </font>
    <font>
      <b/>
      <sz val="9.5"/>
      <name val="Arial"/>
      <family val="2"/>
    </font>
    <font>
      <sz val="9.5"/>
      <name val="Arial"/>
      <family val="2"/>
    </font>
    <font>
      <sz val="48"/>
      <color rgb="FFFF0000"/>
      <name val="Arial"/>
      <family val="2"/>
    </font>
    <font>
      <u/>
      <sz val="12"/>
      <name val="Arial"/>
      <family val="2"/>
    </font>
    <font>
      <sz val="22"/>
      <name val="Arial"/>
      <family val="2"/>
    </font>
    <font>
      <b/>
      <sz val="11"/>
      <color rgb="FF333333"/>
      <name val="Arial,Bold"/>
    </font>
    <font>
      <b/>
      <i/>
      <sz val="12"/>
      <name val="Arial"/>
      <family val="2"/>
    </font>
    <font>
      <sz val="12"/>
      <color theme="0"/>
      <name val="Arial"/>
      <family val="2"/>
    </font>
    <font>
      <sz val="10"/>
      <color theme="0"/>
      <name val="Arial"/>
      <family val="2"/>
    </font>
    <font>
      <sz val="10"/>
      <color theme="1"/>
      <name val="Arial"/>
      <family val="2"/>
    </font>
    <font>
      <b/>
      <sz val="10"/>
      <color theme="5"/>
      <name val="Arial"/>
      <family val="2"/>
    </font>
    <font>
      <b/>
      <sz val="11"/>
      <color theme="1"/>
      <name val="Arial"/>
      <family val="2"/>
    </font>
    <font>
      <b/>
      <sz val="10"/>
      <color theme="1"/>
      <name val="Arial"/>
      <family val="2"/>
    </font>
    <font>
      <sz val="12"/>
      <color theme="5" tint="-0.249977111117893"/>
      <name val="Arial"/>
      <family val="2"/>
    </font>
    <font>
      <sz val="10"/>
      <color theme="5" tint="-0.249977111117893"/>
      <name val="Arial"/>
      <family val="2"/>
    </font>
    <font>
      <sz val="9"/>
      <color theme="5" tint="-0.249977111117893"/>
      <name val="Arial"/>
      <family val="2"/>
    </font>
    <font>
      <sz val="12"/>
      <color theme="1"/>
      <name val="Arial"/>
      <family val="2"/>
    </font>
    <font>
      <b/>
      <u/>
      <sz val="10"/>
      <color theme="1"/>
      <name val="Arial"/>
      <family val="2"/>
    </font>
    <font>
      <b/>
      <sz val="8"/>
      <color theme="1"/>
      <name val="Arial"/>
      <family val="2"/>
    </font>
    <font>
      <b/>
      <vertAlign val="subscript"/>
      <sz val="11"/>
      <name val="Arial"/>
      <family val="2"/>
    </font>
    <font>
      <sz val="7.5"/>
      <name val="Arial"/>
      <family val="2"/>
    </font>
    <font>
      <b/>
      <sz val="11.5"/>
      <name val="Arial"/>
      <family val="2"/>
    </font>
    <font>
      <sz val="10"/>
      <name val="Arial"/>
      <family val="2"/>
    </font>
    <font>
      <b/>
      <sz val="9"/>
      <name val="Arial Narrow"/>
      <family val="2"/>
    </font>
    <font>
      <sz val="10"/>
      <name val="Arial Narrow"/>
      <family val="2"/>
    </font>
    <font>
      <sz val="8"/>
      <color rgb="FF000000"/>
      <name val="Calibri"/>
      <family val="2"/>
    </font>
    <font>
      <sz val="10"/>
      <name val="Calibri"/>
      <family val="2"/>
      <scheme val="minor"/>
    </font>
    <font>
      <sz val="8"/>
      <name val="Calibri"/>
      <family val="2"/>
      <scheme val="minor"/>
    </font>
    <font>
      <sz val="11"/>
      <name val="Calibri"/>
      <family val="2"/>
      <scheme val="minor"/>
    </font>
    <font>
      <sz val="10"/>
      <name val="Arial"/>
      <family val="2"/>
    </font>
    <font>
      <vertAlign val="subscript"/>
      <sz val="10"/>
      <name val="Arial"/>
      <family val="2"/>
    </font>
    <font>
      <b/>
      <sz val="12"/>
      <color rgb="FFFF0000"/>
      <name val="Arial"/>
      <family val="2"/>
    </font>
    <font>
      <sz val="7"/>
      <name val="Calibri"/>
      <family val="2"/>
      <scheme val="minor"/>
    </font>
    <font>
      <sz val="11"/>
      <name val="Calibri"/>
      <family val="2"/>
    </font>
    <font>
      <b/>
      <sz val="8.5"/>
      <name val="Arial"/>
      <family val="2"/>
    </font>
    <font>
      <sz val="9"/>
      <name val="Calibri"/>
      <family val="2"/>
    </font>
    <font>
      <sz val="10"/>
      <name val="Calibri Light"/>
      <family val="2"/>
    </font>
    <font>
      <sz val="9"/>
      <color theme="1"/>
      <name val="Arial"/>
      <family val="2"/>
    </font>
    <font>
      <vertAlign val="superscript"/>
      <sz val="11"/>
      <name val="Arial"/>
      <family val="2"/>
    </font>
    <font>
      <b/>
      <sz val="11"/>
      <color rgb="FFFF0000"/>
      <name val="Arial"/>
      <family val="2"/>
    </font>
    <font>
      <sz val="10"/>
      <color theme="0"/>
      <name val="Calibri"/>
      <family val="2"/>
      <scheme val="minor"/>
    </font>
    <font>
      <sz val="11"/>
      <color theme="0"/>
      <name val="Arial"/>
      <family val="2"/>
    </font>
    <font>
      <b/>
      <sz val="9"/>
      <color theme="0"/>
      <name val="Arial"/>
      <family val="2"/>
    </font>
    <font>
      <b/>
      <sz val="10"/>
      <color theme="0"/>
      <name val="Arial"/>
      <family val="2"/>
    </font>
    <font>
      <sz val="11"/>
      <color rgb="FFFF0000"/>
      <name val="Arial"/>
      <family val="2"/>
    </font>
    <font>
      <sz val="8"/>
      <color rgb="FFFF0000"/>
      <name val="Arial"/>
      <family val="2"/>
    </font>
    <font>
      <sz val="10.5"/>
      <name val="Calibri"/>
      <family val="2"/>
    </font>
    <font>
      <sz val="9.5"/>
      <name val="Times New Roman"/>
      <family val="1"/>
    </font>
    <font>
      <sz val="9"/>
      <color theme="1" tint="0.499984740745262"/>
      <name val="Arial"/>
      <family val="2"/>
    </font>
    <font>
      <b/>
      <sz val="10"/>
      <color rgb="FFFF0000"/>
      <name val="Arial"/>
      <family val="2"/>
    </font>
    <font>
      <sz val="8.5"/>
      <name val="Arial"/>
      <family val="2"/>
    </font>
    <font>
      <sz val="11.5"/>
      <name val="Arial"/>
      <family val="2"/>
    </font>
    <font>
      <b/>
      <sz val="10"/>
      <color rgb="FFFF0000"/>
      <name val="Calibri"/>
      <family val="2"/>
      <scheme val="minor"/>
    </font>
    <font>
      <vertAlign val="superscript"/>
      <sz val="10"/>
      <color rgb="FFFF0000"/>
      <name val="Arial"/>
      <family val="2"/>
    </font>
    <font>
      <b/>
      <sz val="11"/>
      <color rgb="FF000000"/>
      <name val="Aptos Narrow"/>
      <family val="2"/>
    </font>
    <font>
      <sz val="10"/>
      <color theme="3" tint="0.39997558519241921"/>
      <name val="Arial"/>
      <family val="2"/>
    </font>
    <font>
      <sz val="10"/>
      <color theme="0" tint="-0.14999847407452621"/>
      <name val="Arial"/>
      <family val="2"/>
    </font>
    <font>
      <u/>
      <sz val="10"/>
      <color theme="0" tint="-0.14999847407452621"/>
      <name val="Arial"/>
      <family val="2"/>
    </font>
    <font>
      <sz val="10"/>
      <name val="Calibri"/>
      <family val="2"/>
    </font>
    <font>
      <b/>
      <sz val="11"/>
      <color theme="0"/>
      <name val="Arial"/>
      <family val="2"/>
    </font>
    <font>
      <u/>
      <sz val="10"/>
      <color theme="0"/>
      <name val="Arial"/>
      <family val="2"/>
    </font>
    <font>
      <u/>
      <sz val="10"/>
      <color rgb="FF1119AF"/>
      <name val="Arial"/>
      <family val="2"/>
    </font>
    <font>
      <sz val="12"/>
      <name val="Aptos"/>
      <family val="2"/>
    </font>
    <font>
      <vertAlign val="subscript"/>
      <sz val="7.5"/>
      <name val="Arial"/>
      <family val="2"/>
    </font>
    <font>
      <b/>
      <sz val="7.5"/>
      <name val="Arial"/>
      <family val="2"/>
    </font>
    <font>
      <b/>
      <sz val="9"/>
      <color theme="0" tint="-0.499984740745262"/>
      <name val="Arial"/>
      <family val="2"/>
    </font>
    <font>
      <sz val="9"/>
      <color theme="0" tint="-0.499984740745262"/>
      <name val="Arial"/>
      <family val="2"/>
    </font>
    <font>
      <sz val="9.5"/>
      <name val="Arial Nova Cond"/>
      <family val="2"/>
    </font>
    <font>
      <sz val="10"/>
      <name val="Arial Nova Cond"/>
      <family val="2"/>
    </font>
    <font>
      <b/>
      <sz val="8"/>
      <color theme="1" tint="0.499984740745262"/>
      <name val="Arial"/>
      <family val="2"/>
    </font>
    <font>
      <sz val="10"/>
      <color theme="1" tint="0.499984740745262"/>
      <name val="Arial"/>
      <family val="2"/>
    </font>
    <font>
      <sz val="10"/>
      <color theme="0" tint="-0.499984740745262"/>
      <name val="Arial"/>
      <family val="2"/>
    </font>
    <font>
      <sz val="10"/>
      <color theme="8" tint="0.79998168889431442"/>
      <name val="Arial"/>
      <family val="2"/>
    </font>
    <font>
      <b/>
      <sz val="9"/>
      <color theme="8" tint="0.79998168889431442"/>
      <name val="Arial"/>
      <family val="2"/>
    </font>
    <font>
      <b/>
      <sz val="7"/>
      <name val="Arial"/>
      <family val="2"/>
    </font>
    <font>
      <b/>
      <i/>
      <sz val="9"/>
      <name val="Arial"/>
      <family val="2"/>
    </font>
    <font>
      <u/>
      <sz val="9"/>
      <color theme="10"/>
      <name val="Arial"/>
      <family val="2"/>
    </font>
    <font>
      <sz val="9"/>
      <name val="Tahoma"/>
      <family val="2"/>
    </font>
    <font>
      <b/>
      <sz val="16"/>
      <name val="Tahoma"/>
      <family val="2"/>
    </font>
    <font>
      <b/>
      <sz val="11"/>
      <name val="Tahoma"/>
      <family val="2"/>
    </font>
    <font>
      <u/>
      <sz val="11"/>
      <color theme="10"/>
      <name val="Arial"/>
      <family val="2"/>
    </font>
    <font>
      <b/>
      <u/>
      <sz val="11"/>
      <color theme="10"/>
      <name val="Arial"/>
      <family val="2"/>
    </font>
    <font>
      <u/>
      <sz val="8"/>
      <color theme="10"/>
      <name val="Arial"/>
      <family val="2"/>
    </font>
    <font>
      <sz val="8.4"/>
      <name val="Arial"/>
      <family val="2"/>
    </font>
  </fonts>
  <fills count="32">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9CC00"/>
        <bgColor indexed="64"/>
      </patternFill>
    </fill>
    <fill>
      <patternFill patternType="solid">
        <fgColor rgb="FFFFFF99"/>
        <bgColor indexed="64"/>
      </patternFill>
    </fill>
    <fill>
      <patternFill patternType="solid">
        <fgColor rgb="FFFFFFCC"/>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CCFF"/>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rgb="FFD8E4BC"/>
        <bgColor indexed="64"/>
      </patternFill>
    </fill>
    <fill>
      <patternFill patternType="solid">
        <fgColor rgb="FF00B0F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0F8FA"/>
        <bgColor indexed="64"/>
      </patternFill>
    </fill>
    <fill>
      <patternFill patternType="solid">
        <fgColor rgb="FFEBF6F9"/>
        <bgColor indexed="64"/>
      </patternFill>
    </fill>
    <fill>
      <patternFill patternType="solid">
        <fgColor rgb="FFE0E0E0"/>
        <bgColor indexed="64"/>
      </patternFill>
    </fill>
    <fill>
      <patternFill patternType="solid">
        <fgColor theme="6" tint="0.39997558519241921"/>
        <bgColor indexed="64"/>
      </patternFill>
    </fill>
    <fill>
      <patternFill patternType="solid">
        <fgColor rgb="FFE8F5F8"/>
        <bgColor indexed="64"/>
      </patternFill>
    </fill>
  </fills>
  <borders count="124">
    <border>
      <left/>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top style="double">
        <color indexed="64"/>
      </top>
      <bottom/>
      <diagonal/>
    </border>
    <border>
      <left/>
      <right style="double">
        <color indexed="64"/>
      </right>
      <top style="double">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hair">
        <color indexed="64"/>
      </diagonal>
    </border>
    <border diagonalDown="1">
      <left style="thin">
        <color indexed="64"/>
      </left>
      <right style="thin">
        <color indexed="64"/>
      </right>
      <top/>
      <bottom style="medium">
        <color indexed="64"/>
      </bottom>
      <diagonal style="hair">
        <color indexed="64"/>
      </diagonal>
    </border>
    <border diagonalDown="1">
      <left/>
      <right style="thin">
        <color indexed="64"/>
      </right>
      <top/>
      <bottom style="medium">
        <color indexed="64"/>
      </bottom>
      <diagonal style="hair">
        <color indexed="64"/>
      </diagonal>
    </border>
    <border diagonalDown="1">
      <left/>
      <right style="thin">
        <color indexed="64"/>
      </right>
      <top style="medium">
        <color indexed="64"/>
      </top>
      <bottom style="medium">
        <color indexed="64"/>
      </bottom>
      <diagonal style="hair">
        <color indexed="64"/>
      </diagonal>
    </border>
    <border diagonalDown="1">
      <left style="medium">
        <color indexed="64"/>
      </left>
      <right style="thin">
        <color indexed="64"/>
      </right>
      <top style="medium">
        <color indexed="64"/>
      </top>
      <bottom style="medium">
        <color indexed="64"/>
      </bottom>
      <diagonal style="hair">
        <color indexed="64"/>
      </diagonal>
    </border>
    <border>
      <left style="thin">
        <color indexed="64"/>
      </left>
      <right/>
      <top style="medium">
        <color indexed="64"/>
      </top>
      <bottom/>
      <diagonal/>
    </border>
    <border>
      <left style="thin">
        <color indexed="64"/>
      </left>
      <right style="medium">
        <color rgb="FF00B050"/>
      </right>
      <top/>
      <bottom/>
      <diagonal/>
    </border>
    <border>
      <left style="thin">
        <color indexed="64"/>
      </left>
      <right style="medium">
        <color rgb="FF00B050"/>
      </right>
      <top/>
      <bottom style="thin">
        <color indexed="64"/>
      </bottom>
      <diagonal/>
    </border>
    <border>
      <left style="thin">
        <color indexed="64"/>
      </left>
      <right style="medium">
        <color rgb="FF00B050"/>
      </right>
      <top style="thin">
        <color indexed="64"/>
      </top>
      <bottom style="thin">
        <color indexed="64"/>
      </bottom>
      <diagonal/>
    </border>
    <border>
      <left style="thin">
        <color indexed="64"/>
      </left>
      <right style="medium">
        <color rgb="FF00B050"/>
      </right>
      <top style="thin">
        <color indexed="64"/>
      </top>
      <bottom/>
      <diagonal/>
    </border>
    <border>
      <left style="thin">
        <color indexed="64"/>
      </left>
      <right style="medium">
        <color rgb="FF00B050"/>
      </right>
      <top/>
      <bottom style="medium">
        <color indexed="64"/>
      </bottom>
      <diagonal/>
    </border>
    <border>
      <left style="thin">
        <color indexed="64"/>
      </left>
      <right style="medium">
        <color rgb="FF00B050"/>
      </right>
      <top style="thin">
        <color indexed="64"/>
      </top>
      <bottom style="medium">
        <color indexed="64"/>
      </bottom>
      <diagonal/>
    </border>
    <border>
      <left/>
      <right style="medium">
        <color theme="3" tint="0.39997558519241921"/>
      </right>
      <top style="thin">
        <color indexed="64"/>
      </top>
      <bottom style="thin">
        <color indexed="64"/>
      </bottom>
      <diagonal/>
    </border>
    <border>
      <left style="thin">
        <color indexed="64"/>
      </left>
      <right style="medium">
        <color theme="3" tint="0.39997558519241921"/>
      </right>
      <top style="thin">
        <color indexed="64"/>
      </top>
      <bottom style="medium">
        <color indexed="64"/>
      </bottom>
      <diagonal/>
    </border>
    <border>
      <left style="thin">
        <color indexed="64"/>
      </left>
      <right style="medium">
        <color theme="3" tint="0.39997558519241921"/>
      </right>
      <top style="medium">
        <color indexed="64"/>
      </top>
      <bottom style="thin">
        <color indexed="64"/>
      </bottom>
      <diagonal/>
    </border>
    <border>
      <left style="thin">
        <color indexed="64"/>
      </left>
      <right style="medium">
        <color theme="3" tint="0.39997558519241921"/>
      </right>
      <top/>
      <bottom style="thin">
        <color indexed="64"/>
      </bottom>
      <diagonal/>
    </border>
    <border>
      <left style="thin">
        <color indexed="64"/>
      </left>
      <right style="medium">
        <color theme="3" tint="0.39997558519241921"/>
      </right>
      <top style="thin">
        <color indexed="64"/>
      </top>
      <bottom style="thin">
        <color indexed="64"/>
      </bottom>
      <diagonal/>
    </border>
    <border>
      <left/>
      <right style="medium">
        <color theme="3" tint="0.39997558519241921"/>
      </right>
      <top style="thin">
        <color indexed="64"/>
      </top>
      <bottom/>
      <diagonal/>
    </border>
    <border>
      <left style="thin">
        <color indexed="64"/>
      </left>
      <right style="medium">
        <color rgb="FF00B050"/>
      </right>
      <top style="medium">
        <color indexed="64"/>
      </top>
      <bottom style="thin">
        <color indexed="64"/>
      </bottom>
      <diagonal/>
    </border>
    <border>
      <left style="medium">
        <color indexed="64"/>
      </left>
      <right style="medium">
        <color indexed="64"/>
      </right>
      <top style="medium">
        <color theme="1"/>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rgb="FF0070C0"/>
      </right>
      <top style="thin">
        <color indexed="64"/>
      </top>
      <bottom style="thin">
        <color indexed="64"/>
      </bottom>
      <diagonal/>
    </border>
    <border>
      <left style="thin">
        <color indexed="64"/>
      </left>
      <right style="medium">
        <color rgb="FF0070C0"/>
      </right>
      <top style="thin">
        <color indexed="64"/>
      </top>
      <bottom style="medium">
        <color indexed="64"/>
      </bottom>
      <diagonal/>
    </border>
    <border>
      <left style="thin">
        <color indexed="64"/>
      </left>
      <right style="medium">
        <color rgb="FF0070C0"/>
      </right>
      <top/>
      <bottom style="thin">
        <color indexed="64"/>
      </bottom>
      <diagonal/>
    </border>
    <border>
      <left style="thin">
        <color indexed="64"/>
      </left>
      <right style="medium">
        <color rgb="FF0070C0"/>
      </right>
      <top style="thin">
        <color indexed="64"/>
      </top>
      <bottom style="thin">
        <color indexed="64"/>
      </bottom>
      <diagonal/>
    </border>
    <border>
      <left style="medium">
        <color rgb="FF0070C0"/>
      </left>
      <right style="thin">
        <color indexed="64"/>
      </right>
      <top style="thin">
        <color indexed="64"/>
      </top>
      <bottom style="thin">
        <color indexed="64"/>
      </bottom>
      <diagonal/>
    </border>
    <border>
      <left style="medium">
        <color rgb="FF0070C0"/>
      </left>
      <right style="thin">
        <color indexed="64"/>
      </right>
      <top style="thin">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theme="3" tint="0.39997558519241921"/>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s>
  <cellStyleXfs count="11">
    <xf numFmtId="0" fontId="0" fillId="0" borderId="0"/>
    <xf numFmtId="0" fontId="45" fillId="0" borderId="0"/>
    <xf numFmtId="0" fontId="3" fillId="0" borderId="0"/>
    <xf numFmtId="0" fontId="3" fillId="0" borderId="0"/>
    <xf numFmtId="0" fontId="50" fillId="0" borderId="0" applyNumberFormat="0" applyFill="0" applyBorder="0" applyAlignment="0" applyProtection="0"/>
    <xf numFmtId="43" fontId="75" fillId="0" borderId="0" applyFont="0" applyFill="0" applyBorder="0" applyAlignment="0" applyProtection="0"/>
    <xf numFmtId="9" fontId="82"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cellStyleXfs>
  <cellXfs count="1577">
    <xf numFmtId="0" fontId="0" fillId="0" borderId="0" xfId="0"/>
    <xf numFmtId="164" fontId="8" fillId="0" borderId="0" xfId="0" applyNumberFormat="1" applyFont="1" applyAlignment="1">
      <alignment horizontal="left"/>
    </xf>
    <xf numFmtId="164" fontId="6" fillId="0" borderId="0" xfId="0" applyNumberFormat="1" applyFont="1" applyAlignment="1">
      <alignment horizontal="left"/>
    </xf>
    <xf numFmtId="164" fontId="8" fillId="0" borderId="0" xfId="0" quotePrefix="1" applyNumberFormat="1" applyFont="1" applyAlignment="1">
      <alignment horizontal="left"/>
    </xf>
    <xf numFmtId="164" fontId="7" fillId="0" borderId="0" xfId="0" applyNumberFormat="1" applyFont="1" applyAlignment="1">
      <alignment horizontal="left"/>
    </xf>
    <xf numFmtId="164" fontId="7" fillId="0" borderId="0" xfId="0" applyNumberFormat="1" applyFont="1" applyAlignment="1">
      <alignment horizontal="center"/>
    </xf>
    <xf numFmtId="164" fontId="14" fillId="0" borderId="0" xfId="0" applyNumberFormat="1" applyFont="1" applyAlignment="1">
      <alignment horizontal="left"/>
    </xf>
    <xf numFmtId="164" fontId="7" fillId="0" borderId="0" xfId="0" applyNumberFormat="1" applyFont="1" applyAlignment="1">
      <alignment horizontal="right"/>
    </xf>
    <xf numFmtId="164" fontId="11" fillId="0" borderId="0" xfId="0" applyNumberFormat="1" applyFont="1" applyAlignment="1">
      <alignment horizontal="centerContinuous"/>
    </xf>
    <xf numFmtId="164" fontId="5" fillId="0" borderId="0" xfId="0" applyNumberFormat="1" applyFont="1" applyAlignment="1">
      <alignment horizontal="left"/>
    </xf>
    <xf numFmtId="164" fontId="5" fillId="0" borderId="0" xfId="0" applyNumberFormat="1" applyFont="1" applyAlignment="1">
      <alignment horizontal="centerContinuous"/>
    </xf>
    <xf numFmtId="164" fontId="5" fillId="0" borderId="0" xfId="0" applyNumberFormat="1" applyFont="1" applyAlignment="1">
      <alignment horizontal="right"/>
    </xf>
    <xf numFmtId="164" fontId="11"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left"/>
    </xf>
    <xf numFmtId="164" fontId="5" fillId="0" borderId="0" xfId="0" applyNumberFormat="1" applyFont="1" applyAlignment="1">
      <alignment horizontal="center"/>
    </xf>
    <xf numFmtId="0" fontId="21" fillId="0" borderId="0" xfId="0" applyFont="1"/>
    <xf numFmtId="0" fontId="0" fillId="0" borderId="0" xfId="0" applyAlignment="1">
      <alignment horizontal="center"/>
    </xf>
    <xf numFmtId="0" fontId="21" fillId="0" borderId="0" xfId="0" applyFont="1" applyAlignment="1">
      <alignment horizontal="left"/>
    </xf>
    <xf numFmtId="164" fontId="15" fillId="0" borderId="0" xfId="0" applyNumberFormat="1" applyFont="1" applyAlignment="1">
      <alignment horizontal="left"/>
    </xf>
    <xf numFmtId="0" fontId="24" fillId="0" borderId="0" xfId="0" applyFont="1" applyAlignment="1">
      <alignment horizontal="center"/>
    </xf>
    <xf numFmtId="164" fontId="25" fillId="0" borderId="0" xfId="0" applyNumberFormat="1" applyFont="1" applyAlignment="1">
      <alignment horizontal="right"/>
    </xf>
    <xf numFmtId="164" fontId="26" fillId="0" borderId="0" xfId="0" applyNumberFormat="1" applyFont="1" applyAlignment="1">
      <alignment horizontal="left"/>
    </xf>
    <xf numFmtId="164" fontId="23" fillId="0" borderId="0" xfId="0" applyNumberFormat="1" applyFont="1" applyAlignment="1">
      <alignment horizontal="left"/>
    </xf>
    <xf numFmtId="164" fontId="28" fillId="0" borderId="0" xfId="0" applyNumberFormat="1" applyFont="1" applyAlignment="1">
      <alignment horizontal="left"/>
    </xf>
    <xf numFmtId="0" fontId="32" fillId="3" borderId="0" xfId="0" applyFont="1" applyFill="1"/>
    <xf numFmtId="0" fontId="17" fillId="3" borderId="0" xfId="0" applyFont="1" applyFill="1" applyAlignment="1">
      <alignment horizontal="center"/>
    </xf>
    <xf numFmtId="0" fontId="32" fillId="3" borderId="1" xfId="0" applyFont="1" applyFill="1" applyBorder="1" applyAlignment="1">
      <alignment horizontal="center" vertical="center" wrapText="1"/>
    </xf>
    <xf numFmtId="0" fontId="32" fillId="3" borderId="0" xfId="0" applyFont="1" applyFill="1" applyAlignment="1">
      <alignment horizontal="center" vertical="center" wrapText="1"/>
    </xf>
    <xf numFmtId="0" fontId="33" fillId="3" borderId="0" xfId="0" applyFont="1" applyFill="1" applyAlignment="1">
      <alignment horizontal="left"/>
    </xf>
    <xf numFmtId="0" fontId="35" fillId="3" borderId="0" xfId="0" applyFont="1" applyFill="1"/>
    <xf numFmtId="0" fontId="32" fillId="0" borderId="0" xfId="0" applyFont="1"/>
    <xf numFmtId="0" fontId="17" fillId="3" borderId="20" xfId="0" applyFont="1" applyFill="1" applyBorder="1"/>
    <xf numFmtId="0" fontId="17" fillId="3" borderId="0" xfId="0" applyFont="1" applyFill="1" applyAlignment="1">
      <alignment horizontal="right"/>
    </xf>
    <xf numFmtId="0" fontId="17" fillId="3" borderId="10" xfId="0" applyFont="1" applyFill="1" applyBorder="1" applyAlignment="1">
      <alignment horizontal="center"/>
    </xf>
    <xf numFmtId="0" fontId="15" fillId="0" borderId="0" xfId="0" applyFont="1"/>
    <xf numFmtId="0" fontId="23" fillId="0" borderId="0" xfId="0" applyFont="1" applyAlignment="1">
      <alignment horizontal="center"/>
    </xf>
    <xf numFmtId="165" fontId="23" fillId="0" borderId="0" xfId="0" applyNumberFormat="1" applyFont="1" applyAlignment="1">
      <alignment horizontal="center"/>
    </xf>
    <xf numFmtId="0" fontId="26" fillId="0" borderId="0" xfId="0" applyFont="1"/>
    <xf numFmtId="0" fontId="4" fillId="0" borderId="0" xfId="0" applyFont="1"/>
    <xf numFmtId="0" fontId="7" fillId="0" borderId="0" xfId="0" applyFont="1"/>
    <xf numFmtId="0" fontId="6" fillId="0" borderId="0" xfId="0" applyFont="1"/>
    <xf numFmtId="0" fontId="8" fillId="0" borderId="0" xfId="0" applyFont="1"/>
    <xf numFmtId="0" fontId="9" fillId="0" borderId="0" xfId="0" applyFont="1"/>
    <xf numFmtId="0" fontId="4" fillId="0" borderId="0" xfId="0" applyFont="1" applyAlignment="1">
      <alignment horizontal="centerContinuous"/>
    </xf>
    <xf numFmtId="0" fontId="11" fillId="0" borderId="0" xfId="0" applyFont="1" applyAlignment="1">
      <alignment horizontal="centerContinuous"/>
    </xf>
    <xf numFmtId="0" fontId="12" fillId="0" borderId="0" xfId="0" applyFont="1"/>
    <xf numFmtId="0" fontId="5" fillId="0" borderId="0" xfId="0" applyFont="1" applyAlignment="1">
      <alignment horizontal="centerContinuous"/>
    </xf>
    <xf numFmtId="0" fontId="5" fillId="0" borderId="0" xfId="0" applyFont="1" applyAlignment="1">
      <alignment horizontal="left"/>
    </xf>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horizontal="center"/>
    </xf>
    <xf numFmtId="0" fontId="10" fillId="0" borderId="0" xfId="0" applyFont="1" applyAlignment="1">
      <alignment horizontal="centerContinuous"/>
    </xf>
    <xf numFmtId="0" fontId="5" fillId="0" borderId="0" xfId="0" applyFont="1" applyAlignment="1">
      <alignment horizontal="right"/>
    </xf>
    <xf numFmtId="0" fontId="12" fillId="0" borderId="0" xfId="0" applyFont="1" applyAlignment="1">
      <alignment horizontal="center"/>
    </xf>
    <xf numFmtId="0" fontId="5" fillId="0" borderId="0" xfId="0" applyFont="1"/>
    <xf numFmtId="3" fontId="12" fillId="0" borderId="0" xfId="0" applyNumberFormat="1" applyFont="1" applyAlignment="1">
      <alignment horizontal="center"/>
    </xf>
    <xf numFmtId="1" fontId="12" fillId="0" borderId="0" xfId="0" applyNumberFormat="1" applyFont="1" applyAlignment="1">
      <alignment horizontal="center"/>
    </xf>
    <xf numFmtId="165" fontId="12" fillId="0" borderId="0" xfId="0" applyNumberFormat="1" applyFont="1" applyAlignment="1">
      <alignment horizontal="center"/>
    </xf>
    <xf numFmtId="2" fontId="12" fillId="0" borderId="0" xfId="0" applyNumberFormat="1" applyFont="1" applyAlignment="1">
      <alignment horizontal="center"/>
    </xf>
    <xf numFmtId="0" fontId="4"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6" fillId="0" borderId="0" xfId="0" applyFont="1" applyAlignment="1">
      <alignment horizontal="left"/>
    </xf>
    <xf numFmtId="0" fontId="16" fillId="0" borderId="0" xfId="0" applyFont="1"/>
    <xf numFmtId="0" fontId="7" fillId="0" borderId="0" xfId="0" applyFont="1" applyAlignment="1">
      <alignment horizontal="center"/>
    </xf>
    <xf numFmtId="0" fontId="14" fillId="0" borderId="0" xfId="0" applyFont="1"/>
    <xf numFmtId="0" fontId="13" fillId="0" borderId="0" xfId="0" applyFont="1"/>
    <xf numFmtId="0" fontId="7" fillId="0" borderId="0" xfId="0" applyFont="1" applyAlignment="1">
      <alignment horizontal="right"/>
    </xf>
    <xf numFmtId="0" fontId="6" fillId="0" borderId="0" xfId="0" applyFont="1" applyAlignment="1">
      <alignment horizontal="center"/>
    </xf>
    <xf numFmtId="0" fontId="6" fillId="0" borderId="0" xfId="0" applyFont="1" applyAlignment="1">
      <alignment horizontal="right"/>
    </xf>
    <xf numFmtId="165" fontId="4" fillId="0" borderId="0" xfId="0" applyNumberFormat="1" applyFont="1" applyAlignment="1">
      <alignment horizontal="center"/>
    </xf>
    <xf numFmtId="2" fontId="4" fillId="0" borderId="0" xfId="0" applyNumberFormat="1" applyFont="1" applyAlignment="1">
      <alignment horizontal="center"/>
    </xf>
    <xf numFmtId="166" fontId="4" fillId="0" borderId="0" xfId="0" applyNumberFormat="1" applyFont="1" applyAlignment="1">
      <alignment horizontal="center"/>
    </xf>
    <xf numFmtId="2" fontId="11" fillId="0" borderId="0" xfId="0" applyNumberFormat="1" applyFont="1" applyAlignment="1">
      <alignment horizontal="center"/>
    </xf>
    <xf numFmtId="2" fontId="12" fillId="0" borderId="0" xfId="0" applyNumberFormat="1" applyFont="1"/>
    <xf numFmtId="0" fontId="17" fillId="0" borderId="0" xfId="0" applyFont="1" applyAlignment="1">
      <alignment wrapText="1"/>
    </xf>
    <xf numFmtId="2" fontId="23" fillId="0" borderId="0" xfId="0" applyNumberFormat="1" applyFont="1" applyAlignment="1">
      <alignment horizontal="center"/>
    </xf>
    <xf numFmtId="165" fontId="0" fillId="0" borderId="0" xfId="0" applyNumberFormat="1"/>
    <xf numFmtId="167" fontId="23" fillId="0" borderId="0" xfId="0" applyNumberFormat="1" applyFont="1" applyAlignment="1">
      <alignment horizontal="center"/>
    </xf>
    <xf numFmtId="0" fontId="0" fillId="2" borderId="0" xfId="0" applyFill="1"/>
    <xf numFmtId="0" fontId="21" fillId="2" borderId="0" xfId="0" applyFont="1" applyFill="1"/>
    <xf numFmtId="0" fontId="25" fillId="0" borderId="0" xfId="0" applyFont="1" applyAlignment="1">
      <alignment horizontal="center"/>
    </xf>
    <xf numFmtId="0" fontId="26" fillId="2" borderId="0" xfId="0" applyFont="1" applyFill="1"/>
    <xf numFmtId="0" fontId="21" fillId="0" borderId="0" xfId="0" applyFont="1" applyAlignment="1">
      <alignment horizontal="center"/>
    </xf>
    <xf numFmtId="0" fontId="23" fillId="0" borderId="0" xfId="0" applyFont="1"/>
    <xf numFmtId="0" fontId="28" fillId="0" borderId="0" xfId="0" applyFont="1"/>
    <xf numFmtId="164" fontId="22" fillId="5" borderId="45" xfId="0" applyNumberFormat="1" applyFont="1" applyFill="1" applyBorder="1" applyAlignment="1">
      <alignment horizontal="center"/>
    </xf>
    <xf numFmtId="164" fontId="22" fillId="5" borderId="4" xfId="0" applyNumberFormat="1" applyFont="1" applyFill="1" applyBorder="1" applyAlignment="1">
      <alignment horizontal="center"/>
    </xf>
    <xf numFmtId="164" fontId="22" fillId="5" borderId="3" xfId="0" applyNumberFormat="1" applyFont="1" applyFill="1" applyBorder="1" applyAlignment="1">
      <alignment horizontal="center"/>
    </xf>
    <xf numFmtId="0" fontId="0" fillId="0" borderId="0" xfId="0" applyAlignment="1">
      <alignment vertical="center"/>
    </xf>
    <xf numFmtId="0" fontId="17" fillId="6" borderId="6" xfId="0" applyFont="1" applyFill="1" applyBorder="1" applyAlignment="1" applyProtection="1">
      <alignment horizontal="center"/>
      <protection locked="0"/>
    </xf>
    <xf numFmtId="14" fontId="17" fillId="0" borderId="45" xfId="0" applyNumberFormat="1" applyFont="1" applyBorder="1" applyAlignment="1" applyProtection="1">
      <alignment horizontal="center"/>
      <protection locked="0"/>
    </xf>
    <xf numFmtId="14" fontId="17" fillId="0" borderId="48" xfId="0" applyNumberFormat="1" applyFont="1" applyBorder="1" applyAlignment="1" applyProtection="1">
      <alignment horizontal="center"/>
      <protection locked="0"/>
    </xf>
    <xf numFmtId="14" fontId="17" fillId="0" borderId="2" xfId="0" applyNumberFormat="1" applyFont="1" applyBorder="1" applyAlignment="1" applyProtection="1">
      <alignment horizontal="center"/>
      <protection locked="0"/>
    </xf>
    <xf numFmtId="0" fontId="21" fillId="0" borderId="0" xfId="0" applyFont="1" applyAlignment="1" applyProtection="1">
      <alignment horizontal="center" vertical="center"/>
      <protection hidden="1"/>
    </xf>
    <xf numFmtId="2" fontId="26" fillId="0" borderId="0" xfId="0" applyNumberFormat="1" applyFont="1" applyAlignment="1" applyProtection="1">
      <alignment horizontal="center"/>
      <protection hidden="1"/>
    </xf>
    <xf numFmtId="0" fontId="15" fillId="0" borderId="0" xfId="0" applyFont="1" applyAlignment="1" applyProtection="1">
      <alignment horizontal="center" vertical="center"/>
      <protection hidden="1"/>
    </xf>
    <xf numFmtId="0" fontId="15" fillId="0" borderId="0" xfId="0" quotePrefix="1" applyFont="1" applyAlignment="1" applyProtection="1">
      <alignment horizontal="center" vertical="center"/>
      <protection hidden="1"/>
    </xf>
    <xf numFmtId="2" fontId="0" fillId="0" borderId="0" xfId="0" applyNumberFormat="1" applyProtection="1">
      <protection hidden="1"/>
    </xf>
    <xf numFmtId="0" fontId="46" fillId="0" borderId="0" xfId="0" applyFont="1" applyAlignment="1">
      <alignment horizontal="center" vertical="center" wrapText="1"/>
    </xf>
    <xf numFmtId="0" fontId="47" fillId="0" borderId="0" xfId="0" applyFont="1"/>
    <xf numFmtId="0" fontId="17" fillId="0" borderId="0" xfId="2" applyFont="1" applyAlignment="1">
      <alignment horizontal="right"/>
    </xf>
    <xf numFmtId="0" fontId="17" fillId="0" borderId="0" xfId="2" applyFont="1" applyAlignment="1">
      <alignment horizontal="center"/>
    </xf>
    <xf numFmtId="1" fontId="30" fillId="0" borderId="0" xfId="2" applyNumberFormat="1" applyFont="1" applyAlignment="1">
      <alignment horizontal="center"/>
    </xf>
    <xf numFmtId="0" fontId="3" fillId="0" borderId="0" xfId="2" applyAlignment="1">
      <alignment horizontal="center"/>
    </xf>
    <xf numFmtId="0" fontId="3" fillId="0" borderId="0" xfId="2"/>
    <xf numFmtId="0" fontId="36" fillId="0" borderId="56" xfId="2" applyFont="1" applyBorder="1" applyAlignment="1" applyProtection="1">
      <alignment horizontal="center"/>
      <protection locked="0"/>
    </xf>
    <xf numFmtId="0" fontId="36" fillId="0" borderId="57" xfId="2" applyFont="1" applyBorder="1" applyAlignment="1" applyProtection="1">
      <alignment horizontal="center"/>
      <protection locked="0"/>
    </xf>
    <xf numFmtId="0" fontId="34" fillId="0" borderId="0" xfId="2" applyFont="1"/>
    <xf numFmtId="0" fontId="38" fillId="0" borderId="0" xfId="2" applyFont="1"/>
    <xf numFmtId="17" fontId="38" fillId="0" borderId="0" xfId="2" quotePrefix="1" applyNumberFormat="1" applyFont="1"/>
    <xf numFmtId="0" fontId="39" fillId="0" borderId="0" xfId="2" applyFont="1"/>
    <xf numFmtId="164" fontId="17" fillId="0" borderId="0" xfId="2" applyNumberFormat="1" applyFont="1" applyAlignment="1">
      <alignment horizontal="right" vertical="center"/>
    </xf>
    <xf numFmtId="0" fontId="48" fillId="0" borderId="0" xfId="0" applyFont="1" applyAlignment="1">
      <alignment wrapText="1"/>
    </xf>
    <xf numFmtId="0" fontId="3" fillId="0" borderId="0" xfId="0" applyFont="1"/>
    <xf numFmtId="0" fontId="34" fillId="0" borderId="0" xfId="2" applyFont="1" applyAlignment="1">
      <alignment horizontal="center"/>
    </xf>
    <xf numFmtId="172" fontId="3" fillId="0" borderId="43" xfId="2" applyNumberFormat="1" applyBorder="1" applyAlignment="1">
      <alignment horizontal="center"/>
    </xf>
    <xf numFmtId="164" fontId="11" fillId="0" borderId="0" xfId="0" applyNumberFormat="1" applyFont="1" applyAlignment="1">
      <alignment horizontal="left" vertical="center"/>
    </xf>
    <xf numFmtId="164" fontId="8" fillId="0" borderId="0" xfId="0" applyNumberFormat="1" applyFont="1" applyAlignment="1">
      <alignment horizontal="left" vertical="center"/>
    </xf>
    <xf numFmtId="0" fontId="6" fillId="0" borderId="0" xfId="0" applyFont="1" applyAlignment="1">
      <alignment vertical="center"/>
    </xf>
    <xf numFmtId="0" fontId="22" fillId="5" borderId="43" xfId="0" applyFont="1" applyFill="1" applyBorder="1"/>
    <xf numFmtId="0" fontId="22" fillId="0" borderId="16" xfId="0" applyFont="1" applyBorder="1" applyAlignment="1">
      <alignment horizontal="center"/>
    </xf>
    <xf numFmtId="2" fontId="21" fillId="0" borderId="12" xfId="0" applyNumberFormat="1" applyFont="1" applyBorder="1" applyAlignment="1">
      <alignment horizontal="center"/>
    </xf>
    <xf numFmtId="0" fontId="22" fillId="0" borderId="0" xfId="0" applyFont="1" applyAlignment="1">
      <alignment horizontal="left"/>
    </xf>
    <xf numFmtId="0" fontId="17" fillId="3" borderId="16" xfId="0" applyFont="1" applyFill="1" applyBorder="1" applyAlignment="1" applyProtection="1">
      <alignment horizontal="left"/>
      <protection locked="0"/>
    </xf>
    <xf numFmtId="49" fontId="17" fillId="3" borderId="16" xfId="0" applyNumberFormat="1" applyFont="1" applyFill="1" applyBorder="1" applyAlignment="1" applyProtection="1">
      <alignment horizontal="left"/>
      <protection locked="0"/>
    </xf>
    <xf numFmtId="49" fontId="34" fillId="3" borderId="0" xfId="0" applyNumberFormat="1" applyFont="1" applyFill="1" applyAlignment="1">
      <alignment horizontal="center" vertical="top"/>
    </xf>
    <xf numFmtId="0" fontId="54" fillId="0" borderId="0" xfId="0" applyFont="1"/>
    <xf numFmtId="0" fontId="22" fillId="0" borderId="0" xfId="0" applyFont="1"/>
    <xf numFmtId="0" fontId="22" fillId="5" borderId="25" xfId="0" applyFont="1" applyFill="1" applyBorder="1" applyAlignment="1">
      <alignment horizontal="center" vertical="center"/>
    </xf>
    <xf numFmtId="0" fontId="22" fillId="5" borderId="25" xfId="0" applyFont="1" applyFill="1" applyBorder="1" applyAlignment="1">
      <alignment horizontal="center" vertical="center" wrapText="1"/>
    </xf>
    <xf numFmtId="0" fontId="56" fillId="0" borderId="0" xfId="0" applyFont="1" applyAlignment="1">
      <alignment horizontal="left"/>
    </xf>
    <xf numFmtId="0" fontId="3" fillId="3" borderId="0" xfId="0" applyFont="1" applyFill="1"/>
    <xf numFmtId="0" fontId="3" fillId="3" borderId="0" xfId="0" applyFont="1" applyFill="1" applyAlignment="1">
      <alignment horizontal="left"/>
    </xf>
    <xf numFmtId="0" fontId="3" fillId="3" borderId="0" xfId="0" applyFont="1" applyFill="1" applyAlignment="1">
      <alignment horizontal="left" indent="1"/>
    </xf>
    <xf numFmtId="49" fontId="17" fillId="3" borderId="16" xfId="0" applyNumberFormat="1" applyFont="1" applyFill="1" applyBorder="1"/>
    <xf numFmtId="49" fontId="17" fillId="3" borderId="16" xfId="0" applyNumberFormat="1" applyFont="1" applyFill="1" applyBorder="1" applyAlignment="1">
      <alignment horizontal="right"/>
    </xf>
    <xf numFmtId="0" fontId="17" fillId="0" borderId="0" xfId="0" applyFont="1"/>
    <xf numFmtId="165" fontId="21" fillId="0" borderId="9" xfId="0" applyNumberFormat="1" applyFont="1" applyBorder="1" applyAlignment="1" applyProtection="1">
      <alignment horizontal="center"/>
      <protection locked="0"/>
    </xf>
    <xf numFmtId="165" fontId="21" fillId="0" borderId="14" xfId="0" applyNumberFormat="1" applyFont="1" applyBorder="1" applyAlignment="1" applyProtection="1">
      <alignment horizontal="center"/>
      <protection locked="0"/>
    </xf>
    <xf numFmtId="0" fontId="57" fillId="0" borderId="0" xfId="0" applyFont="1"/>
    <xf numFmtId="0" fontId="57" fillId="0" borderId="0" xfId="0" applyFont="1" applyAlignment="1">
      <alignment vertical="center"/>
    </xf>
    <xf numFmtId="0" fontId="31" fillId="6" borderId="25" xfId="0" applyFont="1" applyFill="1" applyBorder="1" applyAlignment="1" applyProtection="1">
      <alignment vertical="center"/>
      <protection locked="0"/>
    </xf>
    <xf numFmtId="0" fontId="31" fillId="0" borderId="0" xfId="0" applyFont="1" applyAlignment="1">
      <alignment horizontal="center"/>
    </xf>
    <xf numFmtId="0" fontId="31" fillId="6" borderId="25" xfId="0" applyFont="1" applyFill="1" applyBorder="1" applyProtection="1">
      <protection locked="0"/>
    </xf>
    <xf numFmtId="0" fontId="31" fillId="0" borderId="0" xfId="0" applyFont="1"/>
    <xf numFmtId="164" fontId="22" fillId="0" borderId="0" xfId="0" applyNumberFormat="1" applyFont="1" applyAlignment="1">
      <alignment horizontal="left"/>
    </xf>
    <xf numFmtId="164" fontId="22" fillId="0" borderId="0" xfId="0" applyNumberFormat="1" applyFont="1" applyAlignment="1">
      <alignment horizontal="right"/>
    </xf>
    <xf numFmtId="0" fontId="22" fillId="2" borderId="0" xfId="0" applyFont="1" applyFill="1"/>
    <xf numFmtId="0" fontId="51" fillId="0" borderId="0" xfId="0" applyFont="1" applyAlignment="1">
      <alignment horizontal="left"/>
    </xf>
    <xf numFmtId="164" fontId="21" fillId="0" borderId="0" xfId="0" applyNumberFormat="1" applyFont="1" applyAlignment="1">
      <alignment horizontal="left"/>
    </xf>
    <xf numFmtId="0" fontId="18" fillId="0" borderId="0" xfId="0" applyFont="1" applyAlignment="1">
      <alignment vertical="center"/>
    </xf>
    <xf numFmtId="0" fontId="19" fillId="0" borderId="0" xfId="0" applyFont="1" applyAlignment="1">
      <alignment vertical="center"/>
    </xf>
    <xf numFmtId="165" fontId="12" fillId="0" borderId="0" xfId="0" applyNumberFormat="1" applyFont="1" applyAlignment="1">
      <alignment horizontal="center" vertical="center"/>
    </xf>
    <xf numFmtId="2" fontId="12" fillId="0" borderId="0" xfId="0" applyNumberFormat="1" applyFont="1" applyAlignment="1">
      <alignment horizontal="center" vertical="center"/>
    </xf>
    <xf numFmtId="164" fontId="6" fillId="0" borderId="0" xfId="0" applyNumberFormat="1" applyFont="1" applyAlignment="1">
      <alignment horizontal="left" vertical="center"/>
    </xf>
    <xf numFmtId="164" fontId="22" fillId="0" borderId="0" xfId="0" applyNumberFormat="1" applyFont="1" applyAlignment="1">
      <alignment horizontal="center"/>
    </xf>
    <xf numFmtId="173" fontId="21" fillId="0" borderId="0" xfId="0" applyNumberFormat="1" applyFont="1" applyAlignment="1">
      <alignment horizontal="center"/>
    </xf>
    <xf numFmtId="0" fontId="21" fillId="0" borderId="16" xfId="0" applyFont="1" applyBorder="1" applyProtection="1">
      <protection locked="0"/>
    </xf>
    <xf numFmtId="165" fontId="21" fillId="0" borderId="0" xfId="0" applyNumberFormat="1" applyFont="1" applyAlignment="1">
      <alignment horizontal="center"/>
    </xf>
    <xf numFmtId="2" fontId="21" fillId="0" borderId="0" xfId="0" applyNumberFormat="1" applyFont="1" applyAlignment="1">
      <alignment horizontal="center" wrapText="1"/>
    </xf>
    <xf numFmtId="2" fontId="21" fillId="4" borderId="64" xfId="0" applyNumberFormat="1" applyFont="1" applyFill="1" applyBorder="1" applyAlignment="1">
      <alignment horizontal="center" wrapText="1"/>
    </xf>
    <xf numFmtId="0" fontId="60" fillId="0" borderId="0" xfId="0" applyFont="1"/>
    <xf numFmtId="0" fontId="26" fillId="0" borderId="0" xfId="0" applyFont="1" applyAlignment="1">
      <alignment vertical="center"/>
    </xf>
    <xf numFmtId="2" fontId="23" fillId="0" borderId="0" xfId="0" applyNumberFormat="1" applyFont="1" applyAlignment="1">
      <alignment vertical="center"/>
    </xf>
    <xf numFmtId="0" fontId="60" fillId="0" borderId="0" xfId="0" applyFont="1" applyAlignment="1">
      <alignment horizontal="center" vertical="center"/>
    </xf>
    <xf numFmtId="0" fontId="61" fillId="0" borderId="0" xfId="0" applyFont="1"/>
    <xf numFmtId="0" fontId="60" fillId="0" borderId="0" xfId="0" applyFont="1" applyAlignment="1">
      <alignment horizontal="left" vertical="center"/>
    </xf>
    <xf numFmtId="164" fontId="15" fillId="5" borderId="37" xfId="0" applyNumberFormat="1" applyFont="1" applyFill="1" applyBorder="1" applyAlignment="1">
      <alignment vertical="center"/>
    </xf>
    <xf numFmtId="164" fontId="15" fillId="5" borderId="11" xfId="0" applyNumberFormat="1" applyFont="1" applyFill="1" applyBorder="1" applyAlignment="1">
      <alignment vertical="center"/>
    </xf>
    <xf numFmtId="0" fontId="69" fillId="0" borderId="6" xfId="0" applyFont="1" applyBorder="1" applyAlignment="1" applyProtection="1">
      <alignment vertical="center" wrapText="1"/>
      <protection locked="0"/>
    </xf>
    <xf numFmtId="0" fontId="69" fillId="0" borderId="9" xfId="0" applyFont="1" applyBorder="1" applyAlignment="1" applyProtection="1">
      <alignment vertical="center" wrapText="1"/>
      <protection locked="0"/>
    </xf>
    <xf numFmtId="0" fontId="71" fillId="0" borderId="6" xfId="0" applyFont="1" applyBorder="1" applyAlignment="1" applyProtection="1">
      <alignment vertical="center" wrapText="1"/>
      <protection locked="0"/>
    </xf>
    <xf numFmtId="164" fontId="22" fillId="7" borderId="0" xfId="0" applyNumberFormat="1" applyFont="1" applyFill="1" applyAlignment="1">
      <alignment horizontal="right"/>
    </xf>
    <xf numFmtId="0" fontId="22" fillId="7" borderId="0" xfId="0" applyFont="1" applyFill="1" applyAlignment="1">
      <alignment horizontal="right"/>
    </xf>
    <xf numFmtId="164" fontId="17" fillId="5" borderId="37" xfId="0" applyNumberFormat="1" applyFont="1" applyFill="1" applyBorder="1" applyAlignment="1">
      <alignment vertical="center"/>
    </xf>
    <xf numFmtId="0" fontId="15" fillId="5" borderId="43" xfId="0" applyFont="1" applyFill="1" applyBorder="1" applyAlignment="1">
      <alignment vertical="center" wrapText="1"/>
    </xf>
    <xf numFmtId="14" fontId="21" fillId="0" borderId="45" xfId="0" applyNumberFormat="1" applyFont="1" applyBorder="1" applyAlignment="1" applyProtection="1">
      <alignment horizontal="center"/>
      <protection locked="0"/>
    </xf>
    <xf numFmtId="165" fontId="21" fillId="0" borderId="44" xfId="0" applyNumberFormat="1" applyFont="1" applyBorder="1" applyAlignment="1" applyProtection="1">
      <alignment horizontal="center"/>
      <protection locked="0"/>
    </xf>
    <xf numFmtId="2" fontId="21" fillId="0" borderId="47" xfId="0" applyNumberFormat="1" applyFont="1" applyBorder="1" applyAlignment="1">
      <alignment horizontal="center"/>
    </xf>
    <xf numFmtId="14" fontId="21" fillId="0" borderId="4" xfId="0" applyNumberFormat="1" applyFont="1" applyBorder="1" applyAlignment="1" applyProtection="1">
      <alignment horizontal="center"/>
      <protection locked="0"/>
    </xf>
    <xf numFmtId="165" fontId="21" fillId="0" borderId="6" xfId="0" applyNumberFormat="1" applyFont="1" applyBorder="1" applyAlignment="1" applyProtection="1">
      <alignment horizontal="center"/>
      <protection locked="0"/>
    </xf>
    <xf numFmtId="2" fontId="21" fillId="0" borderId="7" xfId="0" applyNumberFormat="1" applyFont="1" applyBorder="1" applyAlignment="1">
      <alignment horizontal="center"/>
    </xf>
    <xf numFmtId="14" fontId="21" fillId="0" borderId="2" xfId="0" applyNumberFormat="1" applyFont="1" applyBorder="1" applyAlignment="1" applyProtection="1">
      <alignment horizontal="center"/>
      <protection locked="0"/>
    </xf>
    <xf numFmtId="2" fontId="21" fillId="0" borderId="35" xfId="0" applyNumberFormat="1" applyFont="1" applyBorder="1" applyAlignment="1">
      <alignment horizontal="center"/>
    </xf>
    <xf numFmtId="0" fontId="27" fillId="5" borderId="25" xfId="0" applyFont="1" applyFill="1" applyBorder="1" applyAlignment="1">
      <alignment horizontal="center" vertical="center" wrapText="1"/>
    </xf>
    <xf numFmtId="0" fontId="54" fillId="0" borderId="0" xfId="0" applyFont="1" applyAlignment="1">
      <alignment wrapText="1"/>
    </xf>
    <xf numFmtId="0" fontId="63" fillId="0" borderId="0" xfId="0" applyFont="1" applyAlignment="1">
      <alignment horizontal="left" vertical="center"/>
    </xf>
    <xf numFmtId="0" fontId="22" fillId="5" borderId="38" xfId="0" applyFont="1" applyFill="1" applyBorder="1"/>
    <xf numFmtId="0" fontId="3" fillId="0" borderId="1" xfId="0" applyFont="1" applyBorder="1"/>
    <xf numFmtId="0" fontId="0" fillId="0" borderId="10" xfId="0" applyBorder="1"/>
    <xf numFmtId="0" fontId="0" fillId="0" borderId="20" xfId="0" applyBorder="1"/>
    <xf numFmtId="0" fontId="55" fillId="0" borderId="0" xfId="0" applyFont="1" applyAlignment="1">
      <alignment horizontal="center" vertical="top"/>
    </xf>
    <xf numFmtId="164" fontId="27" fillId="5" borderId="4" xfId="0" applyNumberFormat="1" applyFont="1" applyFill="1" applyBorder="1" applyAlignment="1">
      <alignment horizontal="center"/>
    </xf>
    <xf numFmtId="2" fontId="3" fillId="0" borderId="9" xfId="0" applyNumberFormat="1" applyFont="1" applyBorder="1" applyAlignment="1" applyProtection="1">
      <alignment horizontal="center"/>
      <protection locked="0"/>
    </xf>
    <xf numFmtId="2" fontId="3" fillId="0" borderId="14" xfId="0" applyNumberFormat="1" applyFont="1" applyBorder="1" applyAlignment="1" applyProtection="1">
      <alignment horizontal="center"/>
      <protection locked="0"/>
    </xf>
    <xf numFmtId="164" fontId="17" fillId="5" borderId="4" xfId="0" applyNumberFormat="1" applyFont="1" applyFill="1" applyBorder="1" applyAlignment="1">
      <alignment horizontal="center"/>
    </xf>
    <xf numFmtId="164" fontId="17" fillId="5" borderId="2" xfId="0" applyNumberFormat="1" applyFont="1" applyFill="1" applyBorder="1" applyAlignment="1">
      <alignment horizontal="center"/>
    </xf>
    <xf numFmtId="164" fontId="22" fillId="5" borderId="37" xfId="0" applyNumberFormat="1" applyFont="1" applyFill="1" applyBorder="1" applyAlignment="1">
      <alignment vertical="center"/>
    </xf>
    <xf numFmtId="49" fontId="22" fillId="6" borderId="14" xfId="0" applyNumberFormat="1" applyFont="1" applyFill="1" applyBorder="1" applyProtection="1">
      <protection locked="0"/>
    </xf>
    <xf numFmtId="164" fontId="22" fillId="5" borderId="37" xfId="0" applyNumberFormat="1" applyFont="1" applyFill="1" applyBorder="1" applyAlignment="1">
      <alignment horizontal="right" vertical="center"/>
    </xf>
    <xf numFmtId="2" fontId="21" fillId="7" borderId="20" xfId="0" applyNumberFormat="1" applyFont="1" applyFill="1" applyBorder="1" applyAlignment="1">
      <alignment horizontal="center"/>
    </xf>
    <xf numFmtId="2" fontId="3" fillId="0" borderId="44" xfId="0" applyNumberFormat="1" applyFont="1" applyBorder="1" applyAlignment="1" applyProtection="1">
      <alignment horizontal="center"/>
      <protection locked="0"/>
    </xf>
    <xf numFmtId="1" fontId="3" fillId="0" borderId="44" xfId="0" applyNumberFormat="1" applyFont="1" applyBorder="1" applyAlignment="1" applyProtection="1">
      <alignment horizontal="center"/>
      <protection locked="0"/>
    </xf>
    <xf numFmtId="2" fontId="3" fillId="0" borderId="47" xfId="0" applyNumberFormat="1" applyFont="1" applyBorder="1" applyAlignment="1" applyProtection="1">
      <alignment horizontal="center"/>
      <protection locked="0"/>
    </xf>
    <xf numFmtId="1" fontId="3" fillId="0" borderId="9" xfId="0" applyNumberFormat="1" applyFont="1" applyBorder="1" applyAlignment="1" applyProtection="1">
      <alignment horizontal="center"/>
      <protection locked="0"/>
    </xf>
    <xf numFmtId="2" fontId="3" fillId="0" borderId="32" xfId="0" applyNumberFormat="1" applyFont="1" applyBorder="1" applyAlignment="1" applyProtection="1">
      <alignment horizontal="center"/>
      <protection locked="0"/>
    </xf>
    <xf numFmtId="2" fontId="3" fillId="0" borderId="6" xfId="0" applyNumberFormat="1" applyFont="1" applyBorder="1" applyAlignment="1" applyProtection="1">
      <alignment horizontal="center"/>
      <protection locked="0"/>
    </xf>
    <xf numFmtId="2" fontId="3" fillId="0" borderId="24" xfId="0" applyNumberFormat="1" applyFont="1" applyBorder="1" applyAlignment="1" applyProtection="1">
      <alignment horizontal="center"/>
      <protection locked="0"/>
    </xf>
    <xf numFmtId="2" fontId="3" fillId="0" borderId="15" xfId="0" applyNumberFormat="1" applyFont="1" applyBorder="1" applyAlignment="1" applyProtection="1">
      <alignment horizontal="center"/>
      <protection locked="0"/>
    </xf>
    <xf numFmtId="1" fontId="3" fillId="0" borderId="15" xfId="0" applyNumberFormat="1" applyFont="1" applyBorder="1" applyAlignment="1" applyProtection="1">
      <alignment horizontal="center"/>
      <protection locked="0"/>
    </xf>
    <xf numFmtId="2" fontId="3" fillId="0" borderId="18" xfId="0" applyNumberFormat="1" applyFont="1" applyBorder="1" applyAlignment="1" applyProtection="1">
      <alignment horizontal="center"/>
      <protection locked="0"/>
    </xf>
    <xf numFmtId="2" fontId="3" fillId="0" borderId="35" xfId="0" applyNumberFormat="1" applyFont="1" applyBorder="1" applyAlignment="1" applyProtection="1">
      <alignment horizontal="center"/>
      <protection locked="0"/>
    </xf>
    <xf numFmtId="165" fontId="3" fillId="0" borderId="32" xfId="0" applyNumberFormat="1" applyFont="1" applyBorder="1" applyAlignment="1" applyProtection="1">
      <alignment horizontal="center"/>
      <protection locked="0"/>
    </xf>
    <xf numFmtId="165" fontId="3" fillId="0" borderId="35" xfId="0" applyNumberFormat="1" applyFont="1" applyBorder="1" applyAlignment="1" applyProtection="1">
      <alignment horizontal="center"/>
      <protection locked="0"/>
    </xf>
    <xf numFmtId="2" fontId="37" fillId="0" borderId="11" xfId="0" applyNumberFormat="1" applyFont="1" applyBorder="1" applyAlignment="1">
      <alignment horizontal="center" vertical="center"/>
    </xf>
    <xf numFmtId="0" fontId="32" fillId="0" borderId="0" xfId="0" applyFont="1" applyAlignment="1">
      <alignment horizontal="center" vertical="center" wrapText="1"/>
    </xf>
    <xf numFmtId="165" fontId="17" fillId="0" borderId="0" xfId="0" applyNumberFormat="1" applyFont="1"/>
    <xf numFmtId="2" fontId="17" fillId="0" borderId="0" xfId="0" applyNumberFormat="1" applyFont="1"/>
    <xf numFmtId="0" fontId="32" fillId="3" borderId="27" xfId="0" applyFont="1" applyFill="1" applyBorder="1" applyAlignment="1">
      <alignment horizontal="center" vertical="center" wrapText="1"/>
    </xf>
    <xf numFmtId="165" fontId="3" fillId="0" borderId="24" xfId="0" applyNumberFormat="1" applyFont="1" applyBorder="1" applyAlignment="1" applyProtection="1">
      <alignment horizontal="center"/>
      <protection locked="0"/>
    </xf>
    <xf numFmtId="165" fontId="3" fillId="0" borderId="21" xfId="0" applyNumberFormat="1" applyFont="1" applyBorder="1" applyAlignment="1" applyProtection="1">
      <alignment horizontal="center"/>
      <protection locked="0"/>
    </xf>
    <xf numFmtId="165" fontId="3" fillId="0" borderId="58" xfId="0" applyNumberFormat="1" applyFont="1" applyBorder="1" applyAlignment="1" applyProtection="1">
      <alignment horizontal="center"/>
      <protection locked="0"/>
    </xf>
    <xf numFmtId="2" fontId="3" fillId="7" borderId="23" xfId="0" applyNumberFormat="1" applyFont="1" applyFill="1" applyBorder="1" applyAlignment="1" applyProtection="1">
      <alignment horizontal="center"/>
      <protection locked="0"/>
    </xf>
    <xf numFmtId="2" fontId="3" fillId="7" borderId="9" xfId="0" applyNumberFormat="1" applyFont="1" applyFill="1" applyBorder="1" applyAlignment="1" applyProtection="1">
      <alignment horizontal="center"/>
      <protection locked="0"/>
    </xf>
    <xf numFmtId="2" fontId="3" fillId="0" borderId="23" xfId="0" applyNumberFormat="1" applyFont="1" applyBorder="1" applyAlignment="1" applyProtection="1">
      <alignment horizontal="center"/>
      <protection locked="0"/>
    </xf>
    <xf numFmtId="165" fontId="3" fillId="0" borderId="9" xfId="0" quotePrefix="1" applyNumberFormat="1" applyFont="1" applyBorder="1" applyAlignment="1">
      <alignment horizontal="center"/>
    </xf>
    <xf numFmtId="1" fontId="3" fillId="0" borderId="9" xfId="0" applyNumberFormat="1" applyFont="1" applyBorder="1" applyAlignment="1">
      <alignment horizontal="center"/>
    </xf>
    <xf numFmtId="0" fontId="27" fillId="5" borderId="4" xfId="0" applyFont="1" applyFill="1" applyBorder="1" applyAlignment="1">
      <alignment horizontal="center"/>
    </xf>
    <xf numFmtId="0" fontId="27" fillId="5" borderId="48" xfId="0" applyFont="1" applyFill="1" applyBorder="1" applyAlignment="1">
      <alignment horizontal="center"/>
    </xf>
    <xf numFmtId="0" fontId="27" fillId="5" borderId="3" xfId="0" applyFont="1" applyFill="1" applyBorder="1" applyAlignment="1">
      <alignment horizontal="center"/>
    </xf>
    <xf numFmtId="164" fontId="27" fillId="5" borderId="3" xfId="0" applyNumberFormat="1" applyFont="1" applyFill="1" applyBorder="1" applyAlignment="1">
      <alignment horizontal="center"/>
    </xf>
    <xf numFmtId="0" fontId="22" fillId="5" borderId="29" xfId="0" applyFont="1" applyFill="1" applyBorder="1" applyAlignment="1">
      <alignment horizontal="center"/>
    </xf>
    <xf numFmtId="0" fontId="22" fillId="5" borderId="29" xfId="0" applyFont="1" applyFill="1" applyBorder="1"/>
    <xf numFmtId="0" fontId="22" fillId="5" borderId="40" xfId="0" applyFont="1" applyFill="1" applyBorder="1"/>
    <xf numFmtId="0" fontId="22" fillId="9" borderId="38" xfId="0" applyFont="1" applyFill="1" applyBorder="1" applyAlignment="1">
      <alignment wrapText="1"/>
    </xf>
    <xf numFmtId="0" fontId="37" fillId="0" borderId="0" xfId="0" applyFont="1" applyAlignment="1">
      <alignment horizontal="right"/>
    </xf>
    <xf numFmtId="164" fontId="22" fillId="5" borderId="37" xfId="0" applyNumberFormat="1" applyFont="1" applyFill="1" applyBorder="1" applyAlignment="1">
      <alignment horizontal="left"/>
    </xf>
    <xf numFmtId="164" fontId="22" fillId="5" borderId="9" xfId="0" applyNumberFormat="1" applyFont="1" applyFill="1" applyBorder="1" applyAlignment="1">
      <alignment horizontal="center"/>
    </xf>
    <xf numFmtId="164" fontId="22" fillId="5" borderId="14" xfId="0" applyNumberFormat="1" applyFont="1" applyFill="1" applyBorder="1" applyAlignment="1">
      <alignment horizontal="center"/>
    </xf>
    <xf numFmtId="0" fontId="15" fillId="5" borderId="43" xfId="0" applyFont="1" applyFill="1" applyBorder="1" applyAlignment="1">
      <alignment vertical="center"/>
    </xf>
    <xf numFmtId="0" fontId="15" fillId="5" borderId="29" xfId="0" applyFont="1" applyFill="1" applyBorder="1" applyAlignment="1">
      <alignment vertical="center" wrapText="1"/>
    </xf>
    <xf numFmtId="0" fontId="62" fillId="0" borderId="0" xfId="0" applyFont="1" applyAlignment="1">
      <alignment horizontal="right"/>
    </xf>
    <xf numFmtId="0" fontId="3" fillId="8" borderId="11" xfId="0" applyFont="1" applyFill="1" applyBorder="1" applyAlignment="1" applyProtection="1">
      <alignment vertical="center"/>
      <protection locked="0"/>
    </xf>
    <xf numFmtId="0" fontId="0" fillId="0" borderId="1" xfId="0" applyBorder="1"/>
    <xf numFmtId="0" fontId="69" fillId="0" borderId="4" xfId="0" applyFont="1" applyBorder="1" applyAlignment="1" applyProtection="1">
      <alignment vertical="center" wrapText="1"/>
      <protection locked="0"/>
    </xf>
    <xf numFmtId="0" fontId="69" fillId="0" borderId="32" xfId="0" applyFont="1" applyBorder="1" applyAlignment="1" applyProtection="1">
      <alignment vertical="center" wrapText="1"/>
      <protection locked="0"/>
    </xf>
    <xf numFmtId="0" fontId="69" fillId="0" borderId="48" xfId="0" applyFont="1" applyBorder="1" applyAlignment="1" applyProtection="1">
      <alignment vertical="center" wrapText="1"/>
      <protection locked="0"/>
    </xf>
    <xf numFmtId="0" fontId="69" fillId="0" borderId="7" xfId="0" applyFont="1" applyBorder="1" applyAlignment="1" applyProtection="1">
      <alignment vertical="center" wrapText="1"/>
      <protection locked="0"/>
    </xf>
    <xf numFmtId="0" fontId="69" fillId="0" borderId="2" xfId="0" applyFont="1" applyBorder="1" applyAlignment="1" applyProtection="1">
      <alignment vertical="center" wrapText="1"/>
      <protection locked="0"/>
    </xf>
    <xf numFmtId="0" fontId="69" fillId="0" borderId="14" xfId="0" applyFont="1" applyBorder="1" applyAlignment="1" applyProtection="1">
      <alignment vertical="center" wrapText="1"/>
      <protection locked="0"/>
    </xf>
    <xf numFmtId="0" fontId="69" fillId="0" borderId="35" xfId="0" applyFont="1" applyBorder="1" applyAlignment="1" applyProtection="1">
      <alignment vertical="center" wrapText="1"/>
      <protection locked="0"/>
    </xf>
    <xf numFmtId="0" fontId="77" fillId="3" borderId="0" xfId="0" applyFont="1" applyFill="1"/>
    <xf numFmtId="2" fontId="3" fillId="7" borderId="32" xfId="0" applyNumberFormat="1" applyFont="1" applyFill="1" applyBorder="1" applyAlignment="1" applyProtection="1">
      <alignment horizontal="center"/>
      <protection locked="0"/>
    </xf>
    <xf numFmtId="2" fontId="3" fillId="7" borderId="8" xfId="0" applyNumberFormat="1" applyFont="1" applyFill="1" applyBorder="1" applyAlignment="1" applyProtection="1">
      <alignment horizontal="center"/>
      <protection locked="0"/>
    </xf>
    <xf numFmtId="49" fontId="17" fillId="3" borderId="33" xfId="0" applyNumberFormat="1" applyFont="1" applyFill="1" applyBorder="1" applyAlignment="1">
      <alignment horizontal="right"/>
    </xf>
    <xf numFmtId="0" fontId="78" fillId="0" borderId="0" xfId="0" applyFont="1"/>
    <xf numFmtId="2" fontId="0" fillId="0" borderId="9" xfId="0" applyNumberFormat="1" applyBorder="1" applyAlignment="1">
      <alignment horizontal="center"/>
    </xf>
    <xf numFmtId="164" fontId="17" fillId="5" borderId="36" xfId="0" applyNumberFormat="1" applyFont="1" applyFill="1" applyBorder="1" applyAlignment="1">
      <alignment horizontal="center"/>
    </xf>
    <xf numFmtId="0" fontId="3" fillId="12" borderId="6" xfId="0" applyFont="1" applyFill="1" applyBorder="1"/>
    <xf numFmtId="0" fontId="0" fillId="10" borderId="6" xfId="0" applyFill="1" applyBorder="1"/>
    <xf numFmtId="0" fontId="3" fillId="0" borderId="0" xfId="0" quotePrefix="1" applyFont="1" applyAlignment="1">
      <alignment horizontal="center"/>
    </xf>
    <xf numFmtId="0" fontId="22" fillId="0" borderId="0" xfId="0" applyFont="1" applyAlignment="1">
      <alignment horizontal="right"/>
    </xf>
    <xf numFmtId="0" fontId="22" fillId="0" borderId="0" xfId="0" applyFont="1" applyAlignment="1">
      <alignment horizontal="right" wrapText="1"/>
    </xf>
    <xf numFmtId="0" fontId="17" fillId="0" borderId="16" xfId="0" applyFont="1" applyBorder="1"/>
    <xf numFmtId="0" fontId="17" fillId="0" borderId="16" xfId="0" applyFont="1" applyBorder="1" applyAlignment="1">
      <alignment horizontal="right"/>
    </xf>
    <xf numFmtId="2" fontId="17" fillId="0" borderId="16" xfId="0" applyNumberFormat="1" applyFont="1" applyBorder="1" applyAlignment="1">
      <alignment horizontal="right"/>
    </xf>
    <xf numFmtId="0" fontId="17" fillId="0" borderId="17" xfId="0" applyFont="1" applyBorder="1"/>
    <xf numFmtId="2" fontId="37" fillId="0" borderId="0" xfId="0" applyNumberFormat="1" applyFont="1" applyAlignment="1">
      <alignment horizontal="center" vertical="center"/>
    </xf>
    <xf numFmtId="166" fontId="36" fillId="0" borderId="0" xfId="0" applyNumberFormat="1" applyFont="1" applyAlignment="1">
      <alignment horizontal="center" vertical="center"/>
    </xf>
    <xf numFmtId="2" fontId="36" fillId="0" borderId="0" xfId="0" applyNumberFormat="1" applyFont="1" applyAlignment="1">
      <alignment horizontal="center"/>
    </xf>
    <xf numFmtId="0" fontId="17" fillId="0" borderId="16" xfId="0" applyFont="1" applyBorder="1" applyAlignment="1">
      <alignment horizontal="center"/>
    </xf>
    <xf numFmtId="165" fontId="17" fillId="0" borderId="16" xfId="0" applyNumberFormat="1" applyFont="1" applyBorder="1" applyAlignment="1">
      <alignment horizontal="right"/>
    </xf>
    <xf numFmtId="0" fontId="17" fillId="0" borderId="0" xfId="0" applyFont="1" applyAlignment="1">
      <alignment horizontal="right"/>
    </xf>
    <xf numFmtId="0" fontId="32" fillId="0" borderId="0" xfId="0" applyFont="1" applyAlignment="1">
      <alignment horizontal="right"/>
    </xf>
    <xf numFmtId="1" fontId="17" fillId="0" borderId="16" xfId="0" applyNumberFormat="1" applyFont="1" applyBorder="1" applyAlignment="1">
      <alignment horizontal="right"/>
    </xf>
    <xf numFmtId="2" fontId="17" fillId="0" borderId="16" xfId="0" applyNumberFormat="1" applyFont="1" applyBorder="1"/>
    <xf numFmtId="2" fontId="17" fillId="0" borderId="16" xfId="0" quotePrefix="1" applyNumberFormat="1" applyFont="1" applyBorder="1"/>
    <xf numFmtId="0" fontId="3" fillId="3" borderId="0" xfId="0" applyFont="1" applyFill="1" applyAlignment="1">
      <alignment wrapText="1"/>
    </xf>
    <xf numFmtId="0" fontId="3" fillId="3" borderId="0" xfId="0" applyFont="1" applyFill="1" applyAlignment="1">
      <alignment horizontal="left" wrapText="1"/>
    </xf>
    <xf numFmtId="0" fontId="3" fillId="0" borderId="0" xfId="0" applyFont="1" applyAlignment="1">
      <alignment wrapText="1"/>
    </xf>
    <xf numFmtId="0" fontId="3" fillId="0" borderId="0" xfId="0" applyFont="1" applyAlignment="1">
      <alignment vertical="center"/>
    </xf>
    <xf numFmtId="0" fontId="15" fillId="5" borderId="20" xfId="0" applyFont="1" applyFill="1" applyBorder="1" applyAlignment="1">
      <alignment vertical="center"/>
    </xf>
    <xf numFmtId="0" fontId="15" fillId="5" borderId="23" xfId="0" applyFont="1" applyFill="1" applyBorder="1" applyAlignment="1">
      <alignment vertical="center"/>
    </xf>
    <xf numFmtId="2" fontId="3" fillId="0" borderId="0" xfId="0" applyNumberFormat="1" applyFont="1" applyAlignment="1">
      <alignment horizontal="center" vertical="center"/>
    </xf>
    <xf numFmtId="0" fontId="22" fillId="5" borderId="45" xfId="0" applyFont="1" applyFill="1" applyBorder="1" applyAlignment="1">
      <alignment horizontal="center"/>
    </xf>
    <xf numFmtId="0" fontId="22" fillId="5" borderId="4" xfId="0" applyFont="1" applyFill="1" applyBorder="1" applyAlignment="1">
      <alignment horizontal="center"/>
    </xf>
    <xf numFmtId="0" fontId="22" fillId="5" borderId="48" xfId="0" applyFont="1" applyFill="1" applyBorder="1" applyAlignment="1">
      <alignment horizontal="center"/>
    </xf>
    <xf numFmtId="0" fontId="22" fillId="5" borderId="2" xfId="0" applyFont="1" applyFill="1" applyBorder="1" applyAlignment="1">
      <alignment horizontal="center"/>
    </xf>
    <xf numFmtId="0" fontId="46" fillId="0" borderId="0" xfId="0" applyFont="1" applyAlignment="1">
      <alignment vertical="center" wrapText="1"/>
    </xf>
    <xf numFmtId="0" fontId="0" fillId="0" borderId="0" xfId="0" applyProtection="1">
      <protection hidden="1"/>
    </xf>
    <xf numFmtId="164" fontId="22" fillId="5" borderId="11" xfId="0" applyNumberFormat="1" applyFont="1" applyFill="1" applyBorder="1" applyAlignment="1">
      <alignment vertical="center"/>
    </xf>
    <xf numFmtId="0" fontId="37" fillId="0" borderId="0" xfId="0" applyFont="1"/>
    <xf numFmtId="164" fontId="38" fillId="8" borderId="68" xfId="0" applyNumberFormat="1" applyFont="1" applyFill="1" applyBorder="1" applyAlignment="1">
      <alignment horizontal="center" vertical="center"/>
    </xf>
    <xf numFmtId="164" fontId="41" fillId="8" borderId="14" xfId="0" applyNumberFormat="1" applyFont="1" applyFill="1" applyBorder="1" applyAlignment="1">
      <alignment horizontal="center" vertical="center" wrapText="1"/>
    </xf>
    <xf numFmtId="0" fontId="80" fillId="5" borderId="43" xfId="0" applyFont="1" applyFill="1" applyBorder="1" applyAlignment="1">
      <alignment horizontal="right" vertical="center"/>
    </xf>
    <xf numFmtId="0" fontId="80" fillId="5" borderId="29" xfId="0" applyFont="1" applyFill="1" applyBorder="1" applyAlignment="1">
      <alignment horizontal="right" vertical="center"/>
    </xf>
    <xf numFmtId="0" fontId="22" fillId="9" borderId="43" xfId="0" applyFont="1" applyFill="1" applyBorder="1" applyAlignment="1">
      <alignment wrapText="1"/>
    </xf>
    <xf numFmtId="0" fontId="85" fillId="5" borderId="43" xfId="0" applyFont="1" applyFill="1" applyBorder="1" applyAlignment="1">
      <alignment horizontal="right" vertical="center"/>
    </xf>
    <xf numFmtId="0" fontId="0" fillId="7" borderId="0" xfId="0" applyFill="1"/>
    <xf numFmtId="49" fontId="26" fillId="0" borderId="0" xfId="0" applyNumberFormat="1" applyFont="1" applyProtection="1">
      <protection locked="0"/>
    </xf>
    <xf numFmtId="0" fontId="37" fillId="0" borderId="0" xfId="0" applyFont="1" applyAlignment="1">
      <alignment vertical="top"/>
    </xf>
    <xf numFmtId="0" fontId="37" fillId="0" borderId="0" xfId="0" applyFont="1" applyAlignment="1">
      <alignment vertical="center"/>
    </xf>
    <xf numFmtId="2" fontId="3" fillId="0" borderId="59" xfId="0" applyNumberFormat="1" applyFont="1" applyBorder="1" applyAlignment="1" applyProtection="1">
      <alignment horizontal="center"/>
      <protection locked="0"/>
    </xf>
    <xf numFmtId="2" fontId="37" fillId="15" borderId="75" xfId="0" applyNumberFormat="1" applyFont="1" applyFill="1" applyBorder="1" applyAlignment="1">
      <alignment vertical="center"/>
    </xf>
    <xf numFmtId="2" fontId="37" fillId="15" borderId="17" xfId="0" applyNumberFormat="1" applyFont="1" applyFill="1" applyBorder="1" applyAlignment="1">
      <alignment horizontal="center" vertical="center"/>
    </xf>
    <xf numFmtId="2" fontId="37" fillId="15" borderId="49" xfId="0" applyNumberFormat="1" applyFont="1" applyFill="1" applyBorder="1" applyAlignment="1">
      <alignment horizontal="center" vertical="center"/>
    </xf>
    <xf numFmtId="2" fontId="37" fillId="15" borderId="74" xfId="0" applyNumberFormat="1" applyFont="1" applyFill="1" applyBorder="1" applyAlignment="1">
      <alignment vertical="center"/>
    </xf>
    <xf numFmtId="2" fontId="37" fillId="15" borderId="15" xfId="0" applyNumberFormat="1" applyFont="1" applyFill="1" applyBorder="1" applyAlignment="1">
      <alignment horizontal="center" vertical="center"/>
    </xf>
    <xf numFmtId="2" fontId="37" fillId="16" borderId="76" xfId="0" applyNumberFormat="1" applyFont="1" applyFill="1" applyBorder="1" applyAlignment="1">
      <alignment vertical="center"/>
    </xf>
    <xf numFmtId="2" fontId="37" fillId="16" borderId="40" xfId="0" applyNumberFormat="1" applyFont="1" applyFill="1" applyBorder="1" applyAlignment="1">
      <alignment horizontal="center" vertical="center"/>
    </xf>
    <xf numFmtId="0" fontId="37" fillId="16" borderId="72" xfId="0" applyFont="1" applyFill="1" applyBorder="1" applyAlignment="1">
      <alignment vertical="center"/>
    </xf>
    <xf numFmtId="2" fontId="37" fillId="16" borderId="73" xfId="0" applyNumberFormat="1" applyFont="1" applyFill="1" applyBorder="1" applyAlignment="1">
      <alignment vertical="center"/>
    </xf>
    <xf numFmtId="0" fontId="37" fillId="16" borderId="39" xfId="0" applyFont="1" applyFill="1" applyBorder="1" applyAlignment="1">
      <alignment vertical="center"/>
    </xf>
    <xf numFmtId="2" fontId="37" fillId="17" borderId="76" xfId="0" applyNumberFormat="1" applyFont="1" applyFill="1" applyBorder="1" applyAlignment="1">
      <alignment vertical="center"/>
    </xf>
    <xf numFmtId="2" fontId="37" fillId="17" borderId="40" xfId="0" applyNumberFormat="1" applyFont="1" applyFill="1" applyBorder="1" applyAlignment="1">
      <alignment horizontal="center" vertical="center"/>
    </xf>
    <xf numFmtId="2" fontId="37" fillId="17" borderId="72" xfId="0" applyNumberFormat="1" applyFont="1" applyFill="1" applyBorder="1" applyAlignment="1">
      <alignment horizontal="center" vertical="center"/>
    </xf>
    <xf numFmtId="2" fontId="37" fillId="17" borderId="73" xfId="0" applyNumberFormat="1" applyFont="1" applyFill="1" applyBorder="1" applyAlignment="1">
      <alignment vertical="center"/>
    </xf>
    <xf numFmtId="2" fontId="37" fillId="17" borderId="39" xfId="0" applyNumberFormat="1" applyFont="1" applyFill="1" applyBorder="1" applyAlignment="1">
      <alignment horizontal="center" vertical="center"/>
    </xf>
    <xf numFmtId="2" fontId="37" fillId="18" borderId="76" xfId="0" applyNumberFormat="1" applyFont="1" applyFill="1" applyBorder="1" applyAlignment="1">
      <alignment vertical="center"/>
    </xf>
    <xf numFmtId="0" fontId="37" fillId="18" borderId="40" xfId="0" applyFont="1" applyFill="1" applyBorder="1" applyAlignment="1">
      <alignment horizontal="center" vertical="center"/>
    </xf>
    <xf numFmtId="0" fontId="37" fillId="18" borderId="72" xfId="0" applyFont="1" applyFill="1" applyBorder="1" applyAlignment="1">
      <alignment horizontal="center" vertical="center"/>
    </xf>
    <xf numFmtId="2" fontId="37" fillId="18" borderId="73" xfId="0" applyNumberFormat="1" applyFont="1" applyFill="1" applyBorder="1" applyAlignment="1">
      <alignment vertical="center"/>
    </xf>
    <xf numFmtId="0" fontId="37" fillId="18" borderId="39" xfId="0" applyFont="1" applyFill="1" applyBorder="1" applyAlignment="1">
      <alignment horizontal="center" vertical="center"/>
    </xf>
    <xf numFmtId="2" fontId="37" fillId="15" borderId="77" xfId="0" applyNumberFormat="1" applyFont="1" applyFill="1" applyBorder="1" applyAlignment="1">
      <alignment vertical="center"/>
    </xf>
    <xf numFmtId="0" fontId="37" fillId="15" borderId="40" xfId="0" applyFont="1" applyFill="1" applyBorder="1" applyAlignment="1">
      <alignment horizontal="center" vertical="center"/>
    </xf>
    <xf numFmtId="0" fontId="37" fillId="15" borderId="72" xfId="0" applyFont="1" applyFill="1" applyBorder="1" applyAlignment="1">
      <alignment horizontal="center" vertical="center"/>
    </xf>
    <xf numFmtId="2" fontId="37" fillId="15" borderId="73" xfId="0" applyNumberFormat="1" applyFont="1" applyFill="1" applyBorder="1" applyAlignment="1">
      <alignment vertical="center"/>
    </xf>
    <xf numFmtId="0" fontId="37" fillId="15" borderId="39" xfId="0" applyFont="1" applyFill="1" applyBorder="1" applyAlignment="1">
      <alignment horizontal="center" vertical="center"/>
    </xf>
    <xf numFmtId="0" fontId="3" fillId="5" borderId="11" xfId="0" applyFont="1" applyFill="1" applyBorder="1" applyAlignment="1">
      <alignment horizontal="right" vertical="center"/>
    </xf>
    <xf numFmtId="0" fontId="36" fillId="5" borderId="37" xfId="0" applyFont="1" applyFill="1" applyBorder="1" applyAlignment="1">
      <alignment horizontal="left" vertical="center"/>
    </xf>
    <xf numFmtId="0" fontId="36" fillId="5" borderId="37" xfId="0" applyFont="1" applyFill="1" applyBorder="1" applyAlignment="1">
      <alignment horizontal="right" vertical="center"/>
    </xf>
    <xf numFmtId="0" fontId="36" fillId="0" borderId="0" xfId="0" applyFont="1" applyAlignment="1">
      <alignment horizontal="right"/>
    </xf>
    <xf numFmtId="0" fontId="3" fillId="8" borderId="33" xfId="0" applyFont="1" applyFill="1" applyBorder="1" applyProtection="1">
      <protection locked="0"/>
    </xf>
    <xf numFmtId="0" fontId="3" fillId="8" borderId="43" xfId="0" applyFont="1" applyFill="1" applyBorder="1" applyProtection="1">
      <protection locked="0"/>
    </xf>
    <xf numFmtId="0" fontId="0" fillId="8" borderId="16" xfId="0" applyFill="1" applyBorder="1" applyProtection="1">
      <protection locked="0"/>
    </xf>
    <xf numFmtId="0" fontId="0" fillId="8" borderId="43" xfId="0" applyFill="1" applyBorder="1" applyProtection="1">
      <protection locked="0"/>
    </xf>
    <xf numFmtId="0" fontId="36" fillId="0" borderId="10" xfId="0" applyFont="1" applyBorder="1" applyAlignment="1">
      <alignment horizontal="right"/>
    </xf>
    <xf numFmtId="0" fontId="36" fillId="0" borderId="23" xfId="0" applyFont="1" applyBorder="1" applyAlignment="1">
      <alignment horizontal="right"/>
    </xf>
    <xf numFmtId="0" fontId="32" fillId="7" borderId="0" xfId="0" applyFont="1" applyFill="1"/>
    <xf numFmtId="0" fontId="32" fillId="3" borderId="0" xfId="0" applyFont="1" applyFill="1" applyAlignment="1">
      <alignment vertical="center"/>
    </xf>
    <xf numFmtId="164" fontId="15" fillId="0" borderId="0" xfId="0" applyNumberFormat="1" applyFont="1"/>
    <xf numFmtId="0" fontId="37" fillId="0" borderId="0" xfId="0" applyFont="1" applyAlignment="1">
      <alignment horizontal="left" vertical="center"/>
    </xf>
    <xf numFmtId="0" fontId="17" fillId="0" borderId="0" xfId="0" applyFont="1" applyAlignment="1">
      <alignment horizontal="center"/>
    </xf>
    <xf numFmtId="0" fontId="36" fillId="0" borderId="0" xfId="0" applyFont="1" applyAlignment="1">
      <alignment wrapText="1"/>
    </xf>
    <xf numFmtId="0" fontId="37" fillId="0" borderId="9"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3" fillId="0" borderId="14" xfId="0" applyFont="1" applyBorder="1" applyAlignment="1">
      <alignment horizontal="center" vertical="center" wrapText="1"/>
    </xf>
    <xf numFmtId="0" fontId="37" fillId="7" borderId="0" xfId="0" applyFont="1" applyFill="1" applyAlignment="1">
      <alignment horizontal="left" vertical="center"/>
    </xf>
    <xf numFmtId="0" fontId="3" fillId="7" borderId="0" xfId="0" applyFont="1" applyFill="1"/>
    <xf numFmtId="0" fontId="37" fillId="7" borderId="0" xfId="0" applyFont="1" applyFill="1" applyAlignment="1">
      <alignment horizontal="left" vertical="center" indent="8"/>
    </xf>
    <xf numFmtId="0" fontId="37" fillId="7" borderId="0" xfId="0" applyFont="1" applyFill="1" applyAlignment="1">
      <alignment horizontal="left" vertical="center" wrapText="1"/>
    </xf>
    <xf numFmtId="0" fontId="3" fillId="7" borderId="26" xfId="0" applyFont="1" applyFill="1" applyBorder="1"/>
    <xf numFmtId="0" fontId="3" fillId="7" borderId="22" xfId="0" applyFont="1" applyFill="1" applyBorder="1"/>
    <xf numFmtId="0" fontId="3" fillId="7" borderId="27" xfId="0" applyFont="1" applyFill="1" applyBorder="1"/>
    <xf numFmtId="0" fontId="3" fillId="7" borderId="10" xfId="0" applyFont="1" applyFill="1" applyBorder="1"/>
    <xf numFmtId="0" fontId="37" fillId="7" borderId="0" xfId="0" applyFont="1" applyFill="1" applyAlignment="1">
      <alignment horizontal="left" vertical="center" indent="15"/>
    </xf>
    <xf numFmtId="0" fontId="37" fillId="7" borderId="0" xfId="0" applyFont="1" applyFill="1" applyAlignment="1">
      <alignment vertical="center"/>
    </xf>
    <xf numFmtId="0" fontId="33" fillId="7" borderId="1" xfId="0" applyFont="1" applyFill="1" applyBorder="1" applyAlignment="1">
      <alignment vertical="center"/>
    </xf>
    <xf numFmtId="0" fontId="3" fillId="7" borderId="20" xfId="0" applyFont="1" applyFill="1" applyBorder="1"/>
    <xf numFmtId="0" fontId="3" fillId="8" borderId="0" xfId="0" applyFont="1" applyFill="1"/>
    <xf numFmtId="164" fontId="15" fillId="19" borderId="0" xfId="0" applyNumberFormat="1" applyFont="1" applyFill="1" applyAlignment="1">
      <alignment horizontal="center"/>
    </xf>
    <xf numFmtId="0" fontId="21" fillId="7" borderId="16" xfId="0" applyFont="1" applyFill="1" applyBorder="1" applyAlignment="1" applyProtection="1">
      <alignment horizontal="left" wrapText="1"/>
      <protection locked="0"/>
    </xf>
    <xf numFmtId="0" fontId="21" fillId="0" borderId="0" xfId="0" applyFont="1" applyAlignment="1">
      <alignment vertical="center"/>
    </xf>
    <xf numFmtId="164" fontId="20" fillId="2" borderId="16" xfId="0" applyNumberFormat="1" applyFont="1" applyFill="1" applyBorder="1" applyAlignment="1">
      <alignment horizontal="left"/>
    </xf>
    <xf numFmtId="0" fontId="21" fillId="2" borderId="16" xfId="0" applyFont="1" applyFill="1" applyBorder="1"/>
    <xf numFmtId="0" fontId="22" fillId="2" borderId="16" xfId="0" applyFont="1" applyFill="1" applyBorder="1"/>
    <xf numFmtId="0" fontId="21" fillId="20" borderId="16" xfId="0" applyFont="1" applyFill="1" applyBorder="1"/>
    <xf numFmtId="14" fontId="21" fillId="0" borderId="16" xfId="0" applyNumberFormat="1" applyFont="1" applyBorder="1" applyAlignment="1" applyProtection="1">
      <alignment horizontal="left"/>
      <protection locked="0"/>
    </xf>
    <xf numFmtId="0" fontId="21" fillId="7" borderId="0" xfId="0" applyFont="1" applyFill="1" applyAlignment="1">
      <alignment horizontal="center"/>
    </xf>
    <xf numFmtId="170" fontId="21" fillId="7" borderId="43" xfId="0" applyNumberFormat="1" applyFont="1" applyFill="1" applyBorder="1" applyAlignment="1" applyProtection="1">
      <alignment horizontal="center"/>
      <protection locked="0"/>
    </xf>
    <xf numFmtId="0" fontId="21" fillId="7" borderId="43" xfId="0" applyFont="1" applyFill="1" applyBorder="1" applyAlignment="1" applyProtection="1">
      <alignment horizontal="center"/>
      <protection locked="0"/>
    </xf>
    <xf numFmtId="165" fontId="3" fillId="0" borderId="23" xfId="0" applyNumberFormat="1" applyFont="1" applyBorder="1" applyAlignment="1" applyProtection="1">
      <alignment horizontal="center" vertical="center"/>
      <protection locked="0"/>
    </xf>
    <xf numFmtId="165" fontId="3" fillId="0" borderId="80" xfId="0" applyNumberFormat="1" applyFont="1" applyBorder="1" applyAlignment="1" applyProtection="1">
      <alignment horizontal="center" vertical="center"/>
      <protection locked="0"/>
    </xf>
    <xf numFmtId="165" fontId="3" fillId="0" borderId="81" xfId="0" applyNumberFormat="1" applyFont="1" applyBorder="1" applyAlignment="1" applyProtection="1">
      <alignment horizontal="center" vertical="center"/>
      <protection locked="0"/>
    </xf>
    <xf numFmtId="165" fontId="3" fillId="0" borderId="59" xfId="0" applyNumberFormat="1" applyFont="1" applyBorder="1" applyAlignment="1" applyProtection="1">
      <alignment horizontal="center" vertical="center"/>
      <protection locked="0"/>
    </xf>
    <xf numFmtId="165" fontId="3" fillId="0" borderId="84" xfId="0" applyNumberFormat="1" applyFont="1" applyBorder="1" applyAlignment="1" applyProtection="1">
      <alignment horizontal="center" vertical="center"/>
      <protection locked="0"/>
    </xf>
    <xf numFmtId="2" fontId="3" fillId="0" borderId="87" xfId="0" applyNumberFormat="1" applyFont="1" applyBorder="1" applyAlignment="1">
      <alignment horizontal="right" vertical="center"/>
    </xf>
    <xf numFmtId="2" fontId="3" fillId="0" borderId="88" xfId="0" applyNumberFormat="1" applyFont="1" applyBorder="1" applyAlignment="1">
      <alignment horizontal="right" vertical="center"/>
    </xf>
    <xf numFmtId="2" fontId="3" fillId="0" borderId="89" xfId="0" applyNumberFormat="1" applyFont="1" applyBorder="1" applyAlignment="1">
      <alignment horizontal="right" vertical="center"/>
    </xf>
    <xf numFmtId="2" fontId="3" fillId="0" borderId="86" xfId="0" applyNumberFormat="1" applyFont="1" applyBorder="1" applyAlignment="1">
      <alignment horizontal="right" vertical="center"/>
    </xf>
    <xf numFmtId="0" fontId="89" fillId="7" borderId="93" xfId="0" applyFont="1" applyFill="1" applyBorder="1"/>
    <xf numFmtId="0" fontId="0" fillId="7" borderId="94" xfId="0" applyFill="1" applyBorder="1"/>
    <xf numFmtId="0" fontId="0" fillId="7" borderId="96" xfId="0" applyFill="1" applyBorder="1"/>
    <xf numFmtId="0" fontId="89" fillId="7" borderId="96" xfId="0" applyFont="1" applyFill="1" applyBorder="1"/>
    <xf numFmtId="0" fontId="0" fillId="7" borderId="98" xfId="0" applyFill="1" applyBorder="1"/>
    <xf numFmtId="0" fontId="0" fillId="7" borderId="99" xfId="0" applyFill="1" applyBorder="1"/>
    <xf numFmtId="0" fontId="0" fillId="7" borderId="95" xfId="0" applyFill="1" applyBorder="1"/>
    <xf numFmtId="0" fontId="0" fillId="7" borderId="97" xfId="0" applyFill="1" applyBorder="1"/>
    <xf numFmtId="0" fontId="0" fillId="7" borderId="100" xfId="0" applyFill="1" applyBorder="1"/>
    <xf numFmtId="0" fontId="27" fillId="0" borderId="0" xfId="0" applyFont="1" applyAlignment="1">
      <alignment horizontal="left"/>
    </xf>
    <xf numFmtId="0" fontId="27" fillId="0" borderId="0" xfId="0" applyFont="1" applyAlignment="1">
      <alignment horizontal="right" vertical="center"/>
    </xf>
    <xf numFmtId="168" fontId="59" fillId="6" borderId="15" xfId="0" applyNumberFormat="1" applyFont="1" applyFill="1" applyBorder="1" applyAlignment="1" applyProtection="1">
      <alignment horizontal="center" vertical="center"/>
      <protection locked="0"/>
    </xf>
    <xf numFmtId="0" fontId="21" fillId="0" borderId="0" xfId="0" applyFont="1" applyAlignment="1">
      <alignment horizontal="right" vertical="center" wrapText="1"/>
    </xf>
    <xf numFmtId="164" fontId="22" fillId="5" borderId="6" xfId="0" applyNumberFormat="1" applyFont="1" applyFill="1" applyBorder="1" applyAlignment="1">
      <alignment horizontal="center"/>
    </xf>
    <xf numFmtId="2" fontId="3" fillId="0" borderId="48" xfId="0" applyNumberFormat="1" applyFont="1" applyBorder="1" applyAlignment="1" applyProtection="1">
      <alignment horizontal="center"/>
      <protection locked="0"/>
    </xf>
    <xf numFmtId="2" fontId="3" fillId="0" borderId="2" xfId="0" applyNumberFormat="1" applyFont="1" applyBorder="1" applyAlignment="1" applyProtection="1">
      <alignment horizontal="center"/>
      <protection locked="0"/>
    </xf>
    <xf numFmtId="0" fontId="49" fillId="0" borderId="0" xfId="0" applyFont="1" applyAlignment="1">
      <alignment vertical="center"/>
    </xf>
    <xf numFmtId="1" fontId="17" fillId="0" borderId="16" xfId="0" applyNumberFormat="1" applyFont="1" applyBorder="1"/>
    <xf numFmtId="2" fontId="21" fillId="7" borderId="12" xfId="0" applyNumberFormat="1" applyFont="1" applyFill="1" applyBorder="1" applyAlignment="1">
      <alignment horizontal="center"/>
    </xf>
    <xf numFmtId="2" fontId="21" fillId="0" borderId="0" xfId="0" applyNumberFormat="1" applyFont="1" applyAlignment="1">
      <alignment horizontal="center" vertical="center"/>
    </xf>
    <xf numFmtId="166" fontId="36" fillId="0" borderId="10" xfId="0" applyNumberFormat="1" applyFont="1" applyBorder="1" applyAlignment="1">
      <alignment horizontal="center"/>
    </xf>
    <xf numFmtId="166" fontId="36" fillId="0" borderId="10" xfId="0" applyNumberFormat="1" applyFont="1" applyBorder="1" applyAlignment="1">
      <alignment horizontal="center" vertical="center"/>
    </xf>
    <xf numFmtId="0" fontId="97" fillId="0" borderId="0" xfId="0" applyFont="1" applyAlignment="1">
      <alignment vertical="center" wrapText="1"/>
    </xf>
    <xf numFmtId="1" fontId="3" fillId="8" borderId="35" xfId="0" applyNumberFormat="1" applyFont="1" applyFill="1" applyBorder="1" applyAlignment="1" applyProtection="1">
      <alignment horizontal="center"/>
      <protection locked="0"/>
    </xf>
    <xf numFmtId="172" fontId="31" fillId="0" borderId="0" xfId="0" applyNumberFormat="1" applyFont="1"/>
    <xf numFmtId="0" fontId="52" fillId="0" borderId="1" xfId="0" applyFont="1" applyBorder="1" applyAlignment="1">
      <alignment vertical="center" wrapText="1"/>
    </xf>
    <xf numFmtId="0" fontId="52" fillId="0" borderId="0" xfId="0" applyFont="1" applyAlignment="1">
      <alignment vertical="center" wrapText="1"/>
    </xf>
    <xf numFmtId="1" fontId="3" fillId="0" borderId="15" xfId="0" applyNumberFormat="1" applyFont="1" applyBorder="1" applyAlignment="1">
      <alignment horizontal="center"/>
    </xf>
    <xf numFmtId="165" fontId="3" fillId="0" borderId="6" xfId="0" quotePrefix="1" applyNumberFormat="1" applyFont="1" applyBorder="1" applyAlignment="1">
      <alignment horizontal="center"/>
    </xf>
    <xf numFmtId="1" fontId="3" fillId="0" borderId="6" xfId="0" applyNumberFormat="1" applyFont="1" applyBorder="1" applyAlignment="1">
      <alignment horizontal="center"/>
    </xf>
    <xf numFmtId="0" fontId="37" fillId="7" borderId="9" xfId="0" applyFont="1" applyFill="1" applyBorder="1" applyAlignment="1" applyProtection="1">
      <alignment vertical="center" wrapText="1"/>
      <protection locked="0"/>
    </xf>
    <xf numFmtId="0" fontId="37" fillId="7" borderId="6" xfId="0" applyFont="1" applyFill="1" applyBorder="1" applyAlignment="1" applyProtection="1">
      <alignment vertical="center" wrapText="1"/>
      <protection locked="0"/>
    </xf>
    <xf numFmtId="174" fontId="37" fillId="8" borderId="14" xfId="0" applyNumberFormat="1" applyFont="1" applyFill="1" applyBorder="1" applyAlignment="1" applyProtection="1">
      <alignment horizontal="right" vertical="center" wrapText="1"/>
      <protection locked="0"/>
    </xf>
    <xf numFmtId="14" fontId="37" fillId="8" borderId="14" xfId="0" applyNumberFormat="1" applyFont="1" applyFill="1" applyBorder="1" applyAlignment="1" applyProtection="1">
      <alignment horizontal="right" vertical="center" wrapText="1"/>
      <protection locked="0"/>
    </xf>
    <xf numFmtId="0" fontId="3" fillId="8" borderId="17" xfId="0" applyFont="1" applyFill="1" applyBorder="1" applyProtection="1">
      <protection locked="0"/>
    </xf>
    <xf numFmtId="0" fontId="3" fillId="8" borderId="15" xfId="0" applyFont="1" applyFill="1" applyBorder="1" applyAlignment="1" applyProtection="1">
      <alignment horizontal="center"/>
      <protection locked="0"/>
    </xf>
    <xf numFmtId="171" fontId="26" fillId="7" borderId="0" xfId="0" applyNumberFormat="1" applyFont="1" applyFill="1" applyAlignment="1">
      <alignment horizontal="center"/>
    </xf>
    <xf numFmtId="0" fontId="34" fillId="7" borderId="0" xfId="0" applyFont="1" applyFill="1"/>
    <xf numFmtId="175" fontId="0" fillId="0" borderId="9" xfId="5" applyNumberFormat="1" applyFont="1" applyBorder="1" applyProtection="1">
      <protection locked="0"/>
    </xf>
    <xf numFmtId="175" fontId="0" fillId="0" borderId="6" xfId="5" applyNumberFormat="1" applyFont="1" applyBorder="1" applyProtection="1">
      <protection locked="0"/>
    </xf>
    <xf numFmtId="175" fontId="0" fillId="0" borderId="14" xfId="5" applyNumberFormat="1" applyFont="1" applyBorder="1" applyProtection="1">
      <protection locked="0"/>
    </xf>
    <xf numFmtId="49" fontId="3" fillId="7" borderId="23" xfId="0" applyNumberFormat="1" applyFont="1" applyFill="1" applyBorder="1" applyAlignment="1" applyProtection="1">
      <alignment horizontal="center"/>
      <protection locked="0"/>
    </xf>
    <xf numFmtId="49" fontId="3" fillId="0" borderId="23" xfId="0" applyNumberFormat="1" applyFont="1" applyBorder="1" applyAlignment="1" applyProtection="1">
      <alignment horizontal="center"/>
      <protection locked="0"/>
    </xf>
    <xf numFmtId="49" fontId="3" fillId="0" borderId="14" xfId="0" applyNumberFormat="1" applyFont="1" applyBorder="1" applyAlignment="1" applyProtection="1">
      <alignment horizontal="center"/>
      <protection locked="0"/>
    </xf>
    <xf numFmtId="49" fontId="3" fillId="0" borderId="59" xfId="0" applyNumberFormat="1" applyFont="1" applyBorder="1" applyAlignment="1" applyProtection="1">
      <alignment horizontal="center"/>
      <protection locked="0"/>
    </xf>
    <xf numFmtId="43" fontId="17" fillId="3" borderId="16" xfId="5" applyFont="1" applyFill="1" applyBorder="1" applyAlignment="1" applyProtection="1">
      <protection locked="0"/>
    </xf>
    <xf numFmtId="43" fontId="0" fillId="0" borderId="16" xfId="5" applyFont="1" applyBorder="1" applyAlignment="1" applyProtection="1">
      <protection locked="0"/>
    </xf>
    <xf numFmtId="43" fontId="0" fillId="0" borderId="16" xfId="5" applyFont="1" applyBorder="1" applyAlignment="1" applyProtection="1">
      <alignment horizontal="right"/>
      <protection locked="0"/>
    </xf>
    <xf numFmtId="0" fontId="55" fillId="0" borderId="0" xfId="0" applyFont="1" applyAlignment="1">
      <alignment vertical="top"/>
    </xf>
    <xf numFmtId="0" fontId="3" fillId="0" borderId="0" xfId="0" applyFont="1" applyAlignment="1">
      <alignment vertical="top"/>
    </xf>
    <xf numFmtId="0" fontId="37" fillId="7" borderId="0" xfId="0" applyFont="1" applyFill="1" applyAlignment="1">
      <alignment horizontal="right" vertical="center"/>
    </xf>
    <xf numFmtId="0" fontId="37" fillId="7" borderId="0" xfId="0" applyFont="1" applyFill="1" applyAlignment="1">
      <alignment horizontal="right" vertical="top"/>
    </xf>
    <xf numFmtId="0" fontId="38" fillId="15" borderId="49" xfId="0" applyFont="1" applyFill="1" applyBorder="1" applyAlignment="1">
      <alignment vertical="center" wrapText="1"/>
    </xf>
    <xf numFmtId="0" fontId="21" fillId="17" borderId="0" xfId="0" applyFont="1" applyFill="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56" fillId="0" borderId="0" xfId="0" applyFont="1" applyAlignment="1">
      <alignment horizontal="left" vertical="center"/>
    </xf>
    <xf numFmtId="0" fontId="77" fillId="3" borderId="0" xfId="0" applyFont="1" applyFill="1" applyAlignment="1">
      <alignment horizontal="left" indent="2"/>
    </xf>
    <xf numFmtId="168" fontId="37" fillId="6" borderId="15" xfId="0" applyNumberFormat="1" applyFont="1" applyFill="1" applyBorder="1" applyAlignment="1" applyProtection="1">
      <alignment horizontal="center" vertical="center"/>
      <protection locked="0"/>
    </xf>
    <xf numFmtId="0" fontId="62" fillId="0" borderId="1" xfId="0" applyFont="1" applyBorder="1"/>
    <xf numFmtId="164" fontId="22" fillId="13" borderId="4" xfId="0" applyNumberFormat="1" applyFont="1" applyFill="1" applyBorder="1" applyAlignment="1">
      <alignment horizontal="center"/>
    </xf>
    <xf numFmtId="3" fontId="3" fillId="13" borderId="9" xfId="0" applyNumberFormat="1" applyFont="1" applyFill="1" applyBorder="1" applyAlignment="1">
      <alignment horizontal="center" vertical="center"/>
    </xf>
    <xf numFmtId="165" fontId="3" fillId="13" borderId="91" xfId="0" applyNumberFormat="1" applyFont="1" applyFill="1" applyBorder="1" applyAlignment="1">
      <alignment horizontal="center" vertical="center"/>
    </xf>
    <xf numFmtId="164" fontId="38" fillId="13" borderId="2" xfId="0" applyNumberFormat="1" applyFont="1" applyFill="1" applyBorder="1" applyAlignment="1">
      <alignment horizontal="center"/>
    </xf>
    <xf numFmtId="3" fontId="3" fillId="13" borderId="14" xfId="0" applyNumberFormat="1" applyFont="1" applyFill="1" applyBorder="1" applyAlignment="1">
      <alignment horizontal="center" vertical="center"/>
    </xf>
    <xf numFmtId="165" fontId="3" fillId="13" borderId="84" xfId="0" applyNumberFormat="1" applyFont="1" applyFill="1" applyBorder="1" applyAlignment="1">
      <alignment horizontal="center" vertical="center"/>
    </xf>
    <xf numFmtId="165" fontId="3" fillId="13" borderId="59" xfId="0" applyNumberFormat="1" applyFont="1" applyFill="1" applyBorder="1" applyAlignment="1">
      <alignment horizontal="center" vertical="center"/>
    </xf>
    <xf numFmtId="164" fontId="22" fillId="13" borderId="19" xfId="0" applyNumberFormat="1" applyFont="1" applyFill="1" applyBorder="1" applyAlignment="1">
      <alignment horizontal="center"/>
    </xf>
    <xf numFmtId="4" fontId="3" fillId="13" borderId="14" xfId="0" applyNumberFormat="1" applyFont="1" applyFill="1" applyBorder="1" applyAlignment="1">
      <alignment horizontal="center"/>
    </xf>
    <xf numFmtId="4" fontId="3" fillId="13" borderId="15" xfId="0" applyNumberFormat="1" applyFont="1" applyFill="1" applyBorder="1" applyAlignment="1">
      <alignment horizontal="center"/>
    </xf>
    <xf numFmtId="4" fontId="3" fillId="13" borderId="39" xfId="0" applyNumberFormat="1" applyFont="1" applyFill="1" applyBorder="1" applyAlignment="1">
      <alignment horizontal="center"/>
    </xf>
    <xf numFmtId="2" fontId="3" fillId="13" borderId="17" xfId="0" applyNumberFormat="1" applyFont="1" applyFill="1" applyBorder="1" applyAlignment="1">
      <alignment horizontal="center"/>
    </xf>
    <xf numFmtId="165" fontId="3" fillId="13" borderId="67" xfId="0" applyNumberFormat="1" applyFont="1" applyFill="1" applyBorder="1" applyAlignment="1">
      <alignment horizontal="center"/>
    </xf>
    <xf numFmtId="2" fontId="37" fillId="13" borderId="6" xfId="0" applyNumberFormat="1" applyFont="1" applyFill="1" applyBorder="1" applyAlignment="1">
      <alignment horizontal="center" vertical="center"/>
    </xf>
    <xf numFmtId="164" fontId="37" fillId="13" borderId="6" xfId="0" applyNumberFormat="1" applyFont="1" applyFill="1" applyBorder="1" applyAlignment="1">
      <alignment horizontal="center" vertical="center"/>
    </xf>
    <xf numFmtId="0" fontId="37" fillId="13" borderId="6" xfId="0" applyFont="1" applyFill="1" applyBorder="1" applyAlignment="1">
      <alignment horizontal="center" vertical="center"/>
    </xf>
    <xf numFmtId="0" fontId="27" fillId="13" borderId="19" xfId="0" applyFont="1" applyFill="1" applyBorder="1" applyAlignment="1">
      <alignment horizontal="center"/>
    </xf>
    <xf numFmtId="165" fontId="37" fillId="13" borderId="39" xfId="0" applyNumberFormat="1" applyFont="1" applyFill="1" applyBorder="1" applyAlignment="1">
      <alignment horizontal="center"/>
    </xf>
    <xf numFmtId="1" fontId="37" fillId="13" borderId="39" xfId="0" applyNumberFormat="1" applyFont="1" applyFill="1" applyBorder="1" applyAlignment="1">
      <alignment horizontal="center"/>
    </xf>
    <xf numFmtId="166" fontId="21" fillId="13" borderId="43" xfId="0" applyNumberFormat="1" applyFont="1" applyFill="1" applyBorder="1" applyAlignment="1">
      <alignment horizontal="center"/>
    </xf>
    <xf numFmtId="166" fontId="27" fillId="13" borderId="43" xfId="0" applyNumberFormat="1" applyFont="1" applyFill="1" applyBorder="1" applyAlignment="1">
      <alignment horizontal="right"/>
    </xf>
    <xf numFmtId="0" fontId="21" fillId="13" borderId="43" xfId="0" applyFont="1" applyFill="1" applyBorder="1" applyAlignment="1">
      <alignment horizontal="right"/>
    </xf>
    <xf numFmtId="166" fontId="17" fillId="13" borderId="40" xfId="0" applyNumberFormat="1" applyFont="1" applyFill="1" applyBorder="1" applyAlignment="1">
      <alignment horizontal="right"/>
    </xf>
    <xf numFmtId="1" fontId="37" fillId="13" borderId="29" xfId="0" applyNumberFormat="1" applyFont="1" applyFill="1" applyBorder="1" applyAlignment="1">
      <alignment horizontal="center"/>
    </xf>
    <xf numFmtId="164" fontId="41" fillId="13" borderId="19" xfId="0" applyNumberFormat="1" applyFont="1" applyFill="1" applyBorder="1" applyAlignment="1">
      <alignment horizontal="center"/>
    </xf>
    <xf numFmtId="164" fontId="27" fillId="13" borderId="9" xfId="0" applyNumberFormat="1" applyFont="1" applyFill="1" applyBorder="1" applyAlignment="1">
      <alignment horizontal="center"/>
    </xf>
    <xf numFmtId="3" fontId="21" fillId="13" borderId="24" xfId="0" applyNumberFormat="1" applyFont="1" applyFill="1" applyBorder="1" applyAlignment="1">
      <alignment horizontal="center"/>
    </xf>
    <xf numFmtId="3" fontId="21" fillId="13" borderId="9" xfId="0" applyNumberFormat="1" applyFont="1" applyFill="1" applyBorder="1" applyAlignment="1">
      <alignment horizontal="center"/>
    </xf>
    <xf numFmtId="3" fontId="21" fillId="13" borderId="23" xfId="0" applyNumberFormat="1" applyFont="1" applyFill="1" applyBorder="1" applyAlignment="1">
      <alignment horizontal="center"/>
    </xf>
    <xf numFmtId="0" fontId="17" fillId="13" borderId="14" xfId="0" applyFont="1" applyFill="1" applyBorder="1" applyAlignment="1">
      <alignment horizontal="center"/>
    </xf>
    <xf numFmtId="3" fontId="21" fillId="13" borderId="14" xfId="0" applyNumberFormat="1" applyFont="1" applyFill="1" applyBorder="1" applyAlignment="1">
      <alignment horizontal="center"/>
    </xf>
    <xf numFmtId="3" fontId="21" fillId="13" borderId="59" xfId="0" applyNumberFormat="1" applyFont="1" applyFill="1" applyBorder="1" applyAlignment="1">
      <alignment horizontal="center"/>
    </xf>
    <xf numFmtId="0" fontId="22" fillId="13" borderId="9" xfId="0" applyFont="1" applyFill="1" applyBorder="1"/>
    <xf numFmtId="164" fontId="81" fillId="13" borderId="9" xfId="0" quotePrefix="1" applyNumberFormat="1" applyFont="1" applyFill="1" applyBorder="1" applyAlignment="1">
      <alignment horizontal="center" vertical="center"/>
    </xf>
    <xf numFmtId="164" fontId="81" fillId="13" borderId="6" xfId="0" quotePrefix="1" applyNumberFormat="1" applyFont="1" applyFill="1" applyBorder="1" applyAlignment="1">
      <alignment horizontal="center" vertical="center"/>
    </xf>
    <xf numFmtId="164" fontId="81" fillId="13" borderId="14" xfId="0" quotePrefix="1" applyNumberFormat="1" applyFont="1" applyFill="1" applyBorder="1" applyAlignment="1">
      <alignment horizontal="center" vertical="center"/>
    </xf>
    <xf numFmtId="164" fontId="11" fillId="13" borderId="15" xfId="0" applyNumberFormat="1" applyFont="1" applyFill="1" applyBorder="1" applyAlignment="1">
      <alignment horizontal="center" vertical="center"/>
    </xf>
    <xf numFmtId="0" fontId="21" fillId="13" borderId="9" xfId="0" applyFont="1" applyFill="1" applyBorder="1" applyAlignment="1">
      <alignment horizontal="center" vertical="center"/>
    </xf>
    <xf numFmtId="2" fontId="22" fillId="13" borderId="9" xfId="0" applyNumberFormat="1" applyFont="1" applyFill="1" applyBorder="1" applyAlignment="1">
      <alignment horizontal="center" vertical="center"/>
    </xf>
    <xf numFmtId="2" fontId="22" fillId="13" borderId="0" xfId="0" applyNumberFormat="1" applyFont="1" applyFill="1" applyAlignment="1">
      <alignment horizontal="center" vertical="center"/>
    </xf>
    <xf numFmtId="0" fontId="22" fillId="13" borderId="9" xfId="0" applyFont="1" applyFill="1" applyBorder="1" applyAlignment="1">
      <alignment horizontal="center" vertical="center"/>
    </xf>
    <xf numFmtId="0" fontId="21" fillId="13" borderId="6" xfId="0" applyFont="1" applyFill="1" applyBorder="1" applyAlignment="1">
      <alignment horizontal="center" vertical="center"/>
    </xf>
    <xf numFmtId="2" fontId="22" fillId="13" borderId="6" xfId="0" applyNumberFormat="1" applyFont="1" applyFill="1" applyBorder="1" applyAlignment="1">
      <alignment horizontal="center" vertical="center"/>
    </xf>
    <xf numFmtId="2" fontId="22" fillId="13" borderId="20" xfId="0" applyNumberFormat="1" applyFont="1" applyFill="1" applyBorder="1" applyAlignment="1">
      <alignment horizontal="center" vertical="center"/>
    </xf>
    <xf numFmtId="0" fontId="22" fillId="13" borderId="6" xfId="0" applyFont="1" applyFill="1" applyBorder="1" applyAlignment="1">
      <alignment horizontal="center" vertical="center"/>
    </xf>
    <xf numFmtId="0" fontId="26" fillId="13" borderId="24" xfId="0" applyFont="1" applyFill="1" applyBorder="1" applyAlignment="1">
      <alignment horizontal="center" vertical="center"/>
    </xf>
    <xf numFmtId="0" fontId="37" fillId="13" borderId="54" xfId="0" applyFont="1" applyFill="1" applyBorder="1" applyAlignment="1">
      <alignment vertical="center"/>
    </xf>
    <xf numFmtId="0" fontId="37" fillId="13" borderId="64" xfId="0" applyFont="1" applyFill="1" applyBorder="1" applyAlignment="1">
      <alignment horizontal="right" vertical="center"/>
    </xf>
    <xf numFmtId="0" fontId="26" fillId="13" borderId="23" xfId="0" applyFont="1" applyFill="1" applyBorder="1" applyAlignment="1">
      <alignment horizontal="center" vertical="center"/>
    </xf>
    <xf numFmtId="2" fontId="26" fillId="13" borderId="21" xfId="0" applyNumberFormat="1" applyFont="1" applyFill="1" applyBorder="1" applyAlignment="1">
      <alignment horizontal="center"/>
    </xf>
    <xf numFmtId="0" fontId="37" fillId="13" borderId="21" xfId="0" applyFont="1" applyFill="1" applyBorder="1"/>
    <xf numFmtId="0" fontId="37" fillId="13" borderId="11" xfId="0" applyFont="1" applyFill="1" applyBorder="1" applyAlignment="1">
      <alignment horizontal="right"/>
    </xf>
    <xf numFmtId="2" fontId="26" fillId="13" borderId="11" xfId="0" applyNumberFormat="1" applyFont="1" applyFill="1" applyBorder="1" applyAlignment="1">
      <alignment horizontal="center"/>
    </xf>
    <xf numFmtId="0" fontId="26" fillId="13" borderId="6" xfId="0" applyFont="1" applyFill="1" applyBorder="1" applyAlignment="1">
      <alignment horizontal="center"/>
    </xf>
    <xf numFmtId="0" fontId="37" fillId="13" borderId="9" xfId="0" applyFont="1" applyFill="1" applyBorder="1"/>
    <xf numFmtId="0" fontId="37" fillId="13" borderId="9" xfId="0" applyFont="1" applyFill="1" applyBorder="1" applyAlignment="1">
      <alignment horizontal="right"/>
    </xf>
    <xf numFmtId="0" fontId="26" fillId="13" borderId="11" xfId="0" applyFont="1" applyFill="1" applyBorder="1" applyAlignment="1">
      <alignment horizontal="center"/>
    </xf>
    <xf numFmtId="2" fontId="3" fillId="13" borderId="44" xfId="0" applyNumberFormat="1" applyFont="1" applyFill="1" applyBorder="1" applyAlignment="1">
      <alignment horizontal="center"/>
    </xf>
    <xf numFmtId="2" fontId="0" fillId="13" borderId="14" xfId="0" applyNumberFormat="1" applyFill="1" applyBorder="1" applyAlignment="1">
      <alignment horizontal="center"/>
    </xf>
    <xf numFmtId="2" fontId="3" fillId="13" borderId="6" xfId="6" applyNumberFormat="1" applyFont="1" applyFill="1" applyBorder="1" applyAlignment="1">
      <alignment horizontal="center" vertical="center" wrapText="1"/>
    </xf>
    <xf numFmtId="0" fontId="65" fillId="13" borderId="65" xfId="0" applyFont="1" applyFill="1" applyBorder="1" applyAlignment="1">
      <alignment horizontal="right" vertical="top" wrapText="1"/>
    </xf>
    <xf numFmtId="0" fontId="67" fillId="13" borderId="13" xfId="0" applyFont="1" applyFill="1" applyBorder="1" applyAlignment="1">
      <alignment horizontal="center" vertical="center" wrapText="1"/>
    </xf>
    <xf numFmtId="0" fontId="65" fillId="13" borderId="16" xfId="0" applyFont="1" applyFill="1" applyBorder="1" applyAlignment="1">
      <alignment horizontal="right" vertical="top" wrapText="1"/>
    </xf>
    <xf numFmtId="0" fontId="3" fillId="13" borderId="23" xfId="0" applyFont="1" applyFill="1" applyBorder="1" applyAlignment="1">
      <alignment vertical="center"/>
    </xf>
    <xf numFmtId="0" fontId="3" fillId="13" borderId="11" xfId="0" applyFont="1" applyFill="1" applyBorder="1" applyAlignment="1">
      <alignment vertical="center"/>
    </xf>
    <xf numFmtId="0" fontId="3" fillId="13" borderId="11" xfId="0" applyFont="1" applyFill="1" applyBorder="1" applyAlignment="1">
      <alignment horizontal="right" vertical="center"/>
    </xf>
    <xf numFmtId="0" fontId="62" fillId="13" borderId="1" xfId="0" applyFont="1" applyFill="1" applyBorder="1" applyAlignment="1">
      <alignment vertical="center"/>
    </xf>
    <xf numFmtId="0" fontId="90" fillId="13" borderId="0" xfId="0" applyFont="1" applyFill="1"/>
    <xf numFmtId="0" fontId="90" fillId="13" borderId="0" xfId="0" applyFont="1" applyFill="1" applyAlignment="1">
      <alignment horizontal="right"/>
    </xf>
    <xf numFmtId="0" fontId="3" fillId="3" borderId="0" xfId="0" applyFont="1" applyFill="1" applyAlignment="1">
      <alignment horizontal="left" indent="4"/>
    </xf>
    <xf numFmtId="0" fontId="26" fillId="5" borderId="43" xfId="0" applyFont="1" applyFill="1" applyBorder="1" applyAlignment="1">
      <alignment vertical="center" wrapText="1"/>
    </xf>
    <xf numFmtId="165" fontId="21" fillId="0" borderId="64" xfId="0" applyNumberFormat="1" applyFont="1" applyBorder="1" applyAlignment="1" applyProtection="1">
      <alignment horizontal="center"/>
      <protection locked="0"/>
    </xf>
    <xf numFmtId="0" fontId="37" fillId="13" borderId="78" xfId="0" applyFont="1" applyFill="1" applyBorder="1" applyAlignment="1">
      <alignment horizontal="right" vertical="center" wrapText="1"/>
    </xf>
    <xf numFmtId="0" fontId="37" fillId="13" borderId="21" xfId="0" applyFont="1" applyFill="1" applyBorder="1" applyAlignment="1">
      <alignment horizontal="right" vertical="center" wrapText="1"/>
    </xf>
    <xf numFmtId="0" fontId="37" fillId="13" borderId="24" xfId="0" applyFont="1" applyFill="1" applyBorder="1" applyAlignment="1">
      <alignment horizontal="right" vertical="center" wrapText="1"/>
    </xf>
    <xf numFmtId="0" fontId="3" fillId="13" borderId="5" xfId="0" applyFont="1" applyFill="1" applyBorder="1" applyAlignment="1">
      <alignment horizontal="right" vertical="top"/>
    </xf>
    <xf numFmtId="2" fontId="23" fillId="13" borderId="9" xfId="0" applyNumberFormat="1" applyFont="1" applyFill="1" applyBorder="1" applyAlignment="1">
      <alignment horizontal="center"/>
    </xf>
    <xf numFmtId="0" fontId="3" fillId="13" borderId="5" xfId="0" applyFont="1" applyFill="1" applyBorder="1" applyAlignment="1">
      <alignment horizontal="right"/>
    </xf>
    <xf numFmtId="3" fontId="21" fillId="0" borderId="23" xfId="0" applyNumberFormat="1" applyFont="1" applyBorder="1" applyAlignment="1">
      <alignment horizontal="center"/>
    </xf>
    <xf numFmtId="3" fontId="21" fillId="0" borderId="9" xfId="0" applyNumberFormat="1" applyFont="1" applyBorder="1" applyAlignment="1" applyProtection="1">
      <alignment horizontal="center"/>
      <protection locked="0"/>
    </xf>
    <xf numFmtId="3" fontId="21" fillId="0" borderId="23" xfId="0" applyNumberFormat="1" applyFont="1" applyBorder="1" applyAlignment="1" applyProtection="1">
      <alignment horizontal="center"/>
      <protection locked="0"/>
    </xf>
    <xf numFmtId="3" fontId="21" fillId="0" borderId="105" xfId="0" applyNumberFormat="1" applyFont="1" applyBorder="1" applyAlignment="1" applyProtection="1">
      <alignment horizontal="center"/>
      <protection locked="0"/>
    </xf>
    <xf numFmtId="3" fontId="21" fillId="0" borderId="14" xfId="0" applyNumberFormat="1" applyFont="1" applyBorder="1" applyAlignment="1">
      <alignment horizontal="center"/>
    </xf>
    <xf numFmtId="3" fontId="21" fillId="0" borderId="14" xfId="0" applyNumberFormat="1" applyFont="1" applyBorder="1" applyAlignment="1" applyProtection="1">
      <alignment horizontal="center"/>
      <protection locked="0"/>
    </xf>
    <xf numFmtId="3" fontId="21" fillId="0" borderId="59" xfId="0" applyNumberFormat="1" applyFont="1" applyBorder="1" applyAlignment="1" applyProtection="1">
      <alignment horizontal="center"/>
      <protection locked="0"/>
    </xf>
    <xf numFmtId="0" fontId="61" fillId="0" borderId="0" xfId="2" applyFont="1"/>
    <xf numFmtId="0" fontId="61" fillId="0" borderId="0" xfId="2" applyFont="1" applyAlignment="1">
      <alignment wrapText="1"/>
    </xf>
    <xf numFmtId="166" fontId="3" fillId="13" borderId="0" xfId="0" applyNumberFormat="1" applyFont="1" applyFill="1" applyAlignment="1">
      <alignment horizontal="center"/>
    </xf>
    <xf numFmtId="0" fontId="22" fillId="9" borderId="72" xfId="0" applyFont="1" applyFill="1" applyBorder="1" applyAlignment="1">
      <alignment wrapText="1"/>
    </xf>
    <xf numFmtId="164" fontId="27" fillId="5" borderId="9" xfId="0" applyNumberFormat="1" applyFont="1" applyFill="1" applyBorder="1" applyAlignment="1">
      <alignment horizontal="center"/>
    </xf>
    <xf numFmtId="164" fontId="27" fillId="5" borderId="15" xfId="0" applyNumberFormat="1" applyFont="1" applyFill="1" applyBorder="1" applyAlignment="1">
      <alignment horizontal="center"/>
    </xf>
    <xf numFmtId="164" fontId="38" fillId="13" borderId="15" xfId="0" applyNumberFormat="1" applyFont="1" applyFill="1" applyBorder="1" applyAlignment="1">
      <alignment horizontal="center"/>
    </xf>
    <xf numFmtId="0" fontId="3" fillId="0" borderId="0" xfId="0" applyFont="1" applyAlignment="1">
      <alignment vertical="center" wrapText="1"/>
    </xf>
    <xf numFmtId="0" fontId="0" fillId="21" borderId="6" xfId="0" applyFill="1" applyBorder="1"/>
    <xf numFmtId="2" fontId="3" fillId="0" borderId="1" xfId="0" applyNumberFormat="1" applyFont="1" applyBorder="1" applyAlignment="1" applyProtection="1">
      <alignment horizontal="center"/>
      <protection locked="0"/>
    </xf>
    <xf numFmtId="165" fontId="3" fillId="13" borderId="59" xfId="0" applyNumberFormat="1" applyFont="1" applyFill="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3" fontId="22" fillId="5" borderId="37" xfId="5" applyNumberFormat="1" applyFont="1" applyFill="1" applyBorder="1" applyAlignment="1">
      <alignment vertical="center"/>
    </xf>
    <xf numFmtId="3" fontId="0" fillId="0" borderId="0" xfId="5" applyNumberFormat="1" applyFont="1"/>
    <xf numFmtId="49" fontId="21" fillId="0" borderId="16" xfId="0" applyNumberFormat="1" applyFont="1" applyBorder="1" applyAlignment="1" applyProtection="1">
      <alignment horizontal="center"/>
      <protection locked="0"/>
    </xf>
    <xf numFmtId="49" fontId="21" fillId="0" borderId="43" xfId="0" applyNumberFormat="1" applyFont="1" applyBorder="1" applyAlignment="1" applyProtection="1">
      <alignment horizontal="center"/>
      <protection locked="0"/>
    </xf>
    <xf numFmtId="0" fontId="97" fillId="0" borderId="0" xfId="0" applyFont="1"/>
    <xf numFmtId="2" fontId="3" fillId="13" borderId="86" xfId="0" applyNumberFormat="1" applyFont="1" applyFill="1" applyBorder="1" applyAlignment="1">
      <alignment horizontal="center" vertical="center"/>
    </xf>
    <xf numFmtId="2" fontId="3" fillId="13" borderId="86" xfId="0" applyNumberFormat="1" applyFont="1" applyFill="1" applyBorder="1" applyAlignment="1" applyProtection="1">
      <alignment horizontal="center" vertical="center"/>
      <protection locked="0"/>
    </xf>
    <xf numFmtId="0" fontId="0" fillId="22" borderId="6" xfId="0" applyFill="1" applyBorder="1"/>
    <xf numFmtId="2" fontId="3" fillId="0" borderId="5" xfId="0" applyNumberFormat="1" applyFont="1" applyBorder="1" applyAlignment="1" applyProtection="1">
      <alignment horizontal="center"/>
      <protection locked="0"/>
    </xf>
    <xf numFmtId="2" fontId="3" fillId="0" borderId="36" xfId="0" applyNumberFormat="1" applyFont="1" applyBorder="1" applyAlignment="1" applyProtection="1">
      <alignment horizontal="center"/>
      <protection locked="0"/>
    </xf>
    <xf numFmtId="2" fontId="3" fillId="13" borderId="9" xfId="0" applyNumberFormat="1" applyFont="1" applyFill="1" applyBorder="1" applyAlignment="1">
      <alignment horizontal="center"/>
    </xf>
    <xf numFmtId="2" fontId="3" fillId="21" borderId="44" xfId="0" applyNumberFormat="1" applyFont="1" applyFill="1" applyBorder="1" applyAlignment="1">
      <alignment horizontal="center"/>
    </xf>
    <xf numFmtId="0" fontId="0" fillId="23" borderId="6" xfId="0" applyFill="1" applyBorder="1"/>
    <xf numFmtId="165" fontId="17" fillId="5" borderId="37" xfId="0" applyNumberFormat="1" applyFont="1" applyFill="1" applyBorder="1" applyAlignment="1">
      <alignment vertical="center"/>
    </xf>
    <xf numFmtId="165" fontId="17" fillId="0" borderId="101" xfId="0" applyNumberFormat="1" applyFont="1" applyBorder="1" applyAlignment="1" applyProtection="1">
      <alignment horizontal="centerContinuous"/>
      <protection locked="0"/>
    </xf>
    <xf numFmtId="165" fontId="21" fillId="0" borderId="103" xfId="0" applyNumberFormat="1" applyFont="1" applyBorder="1" applyAlignment="1" applyProtection="1">
      <alignment horizontal="center"/>
      <protection locked="0"/>
    </xf>
    <xf numFmtId="165" fontId="21" fillId="0" borderId="104" xfId="0" applyNumberFormat="1" applyFont="1" applyBorder="1" applyAlignment="1" applyProtection="1">
      <alignment horizontal="center"/>
      <protection locked="0"/>
    </xf>
    <xf numFmtId="165" fontId="21" fillId="0" borderId="102" xfId="0" applyNumberFormat="1" applyFont="1" applyBorder="1" applyAlignment="1" applyProtection="1">
      <alignment horizontal="center"/>
      <protection locked="0"/>
    </xf>
    <xf numFmtId="165" fontId="21" fillId="13" borderId="103" xfId="0" applyNumberFormat="1" applyFont="1" applyFill="1" applyBorder="1" applyAlignment="1">
      <alignment horizontal="center"/>
    </xf>
    <xf numFmtId="165" fontId="21" fillId="13" borderId="102" xfId="0" applyNumberFormat="1" applyFont="1" applyFill="1" applyBorder="1" applyAlignment="1">
      <alignment horizontal="center"/>
    </xf>
    <xf numFmtId="165" fontId="61" fillId="0" borderId="0" xfId="0" applyNumberFormat="1" applyFont="1"/>
    <xf numFmtId="165" fontId="21" fillId="0" borderId="24" xfId="0" applyNumberFormat="1" applyFont="1" applyBorder="1" applyAlignment="1" applyProtection="1">
      <alignment horizontal="center"/>
      <protection locked="0"/>
    </xf>
    <xf numFmtId="165" fontId="17" fillId="5" borderId="11" xfId="0" applyNumberFormat="1" applyFont="1" applyFill="1" applyBorder="1" applyAlignment="1">
      <alignment vertical="center"/>
    </xf>
    <xf numFmtId="165" fontId="17" fillId="0" borderId="11" xfId="0" applyNumberFormat="1" applyFont="1" applyBorder="1" applyAlignment="1" applyProtection="1">
      <alignment horizontal="center"/>
      <protection locked="0"/>
    </xf>
    <xf numFmtId="165" fontId="21" fillId="13" borderId="9" xfId="0" applyNumberFormat="1" applyFont="1" applyFill="1" applyBorder="1" applyAlignment="1">
      <alignment horizontal="center"/>
    </xf>
    <xf numFmtId="165" fontId="21" fillId="13" borderId="14" xfId="0" applyNumberFormat="1" applyFont="1" applyFill="1" applyBorder="1" applyAlignment="1">
      <alignment horizontal="center"/>
    </xf>
    <xf numFmtId="0" fontId="3" fillId="0" borderId="0" xfId="0" applyFont="1" applyAlignment="1">
      <alignment horizontal="left" vertical="center"/>
    </xf>
    <xf numFmtId="0" fontId="0" fillId="0" borderId="0" xfId="0" applyAlignment="1">
      <alignment horizontal="left" vertical="center"/>
    </xf>
    <xf numFmtId="14" fontId="0" fillId="8" borderId="6" xfId="0" applyNumberFormat="1" applyFill="1" applyBorder="1" applyProtection="1">
      <protection locked="0"/>
    </xf>
    <xf numFmtId="165" fontId="54" fillId="13" borderId="23" xfId="0" applyNumberFormat="1" applyFont="1" applyFill="1" applyBorder="1" applyAlignment="1">
      <alignment horizontal="center" vertical="center"/>
    </xf>
    <xf numFmtId="2" fontId="54" fillId="13" borderId="88" xfId="0" applyNumberFormat="1" applyFont="1" applyFill="1" applyBorder="1" applyAlignment="1">
      <alignment horizontal="center" vertical="center"/>
    </xf>
    <xf numFmtId="165" fontId="54" fillId="13" borderId="88" xfId="0" applyNumberFormat="1" applyFont="1" applyFill="1" applyBorder="1" applyAlignment="1">
      <alignment horizontal="center" vertical="center"/>
    </xf>
    <xf numFmtId="165" fontId="54" fillId="13" borderId="23" xfId="0" applyNumberFormat="1" applyFont="1" applyFill="1" applyBorder="1" applyAlignment="1" applyProtection="1">
      <alignment horizontal="center" vertical="center"/>
      <protection locked="0"/>
    </xf>
    <xf numFmtId="165" fontId="54" fillId="13" borderId="88" xfId="0" applyNumberFormat="1" applyFont="1" applyFill="1" applyBorder="1" applyAlignment="1" applyProtection="1">
      <alignment horizontal="center" vertical="center"/>
      <protection locked="0"/>
    </xf>
    <xf numFmtId="165" fontId="54" fillId="13" borderId="9" xfId="0" applyNumberFormat="1" applyFont="1" applyFill="1" applyBorder="1" applyAlignment="1" applyProtection="1">
      <alignment horizontal="center" vertical="center"/>
      <protection locked="0"/>
    </xf>
    <xf numFmtId="164" fontId="27" fillId="5" borderId="113" xfId="0" applyNumberFormat="1" applyFont="1" applyFill="1" applyBorder="1" applyAlignment="1">
      <alignment horizontal="center"/>
    </xf>
    <xf numFmtId="164" fontId="27" fillId="5" borderId="69" xfId="0" applyNumberFormat="1" applyFont="1" applyFill="1" applyBorder="1" applyAlignment="1">
      <alignment horizontal="center"/>
    </xf>
    <xf numFmtId="164" fontId="27" fillId="5" borderId="13" xfId="0" applyNumberFormat="1" applyFont="1" applyFill="1" applyBorder="1" applyAlignment="1">
      <alignment horizontal="center"/>
    </xf>
    <xf numFmtId="0" fontId="3" fillId="0" borderId="53" xfId="0" applyFont="1" applyBorder="1" applyAlignment="1" applyProtection="1">
      <alignment horizontal="left" wrapText="1"/>
      <protection locked="0"/>
    </xf>
    <xf numFmtId="0" fontId="36" fillId="0" borderId="0" xfId="0" applyFont="1"/>
    <xf numFmtId="164" fontId="38" fillId="13" borderId="1" xfId="0" applyNumberFormat="1" applyFont="1" applyFill="1" applyBorder="1" applyAlignment="1">
      <alignment horizontal="center" wrapText="1"/>
    </xf>
    <xf numFmtId="2" fontId="3" fillId="0" borderId="88" xfId="0" applyNumberFormat="1" applyFont="1" applyBorder="1" applyAlignment="1" applyProtection="1">
      <alignment horizontal="right" vertical="center"/>
      <protection locked="0"/>
    </xf>
    <xf numFmtId="2" fontId="3" fillId="0" borderId="86" xfId="0" applyNumberFormat="1" applyFont="1" applyBorder="1" applyAlignment="1" applyProtection="1">
      <alignment horizontal="right" vertical="center"/>
      <protection locked="0"/>
    </xf>
    <xf numFmtId="0" fontId="27" fillId="0" borderId="0" xfId="0" applyFont="1" applyAlignment="1">
      <alignment wrapText="1"/>
    </xf>
    <xf numFmtId="168" fontId="37" fillId="6" borderId="39" xfId="0" applyNumberFormat="1" applyFont="1" applyFill="1" applyBorder="1" applyAlignment="1" applyProtection="1">
      <alignment horizontal="center" vertical="center"/>
      <protection locked="0"/>
    </xf>
    <xf numFmtId="0" fontId="27" fillId="0" borderId="12" xfId="0" applyFont="1" applyBorder="1" applyAlignment="1">
      <alignment horizontal="right" vertical="top" wrapText="1"/>
    </xf>
    <xf numFmtId="0" fontId="17" fillId="0" borderId="10" xfId="0" applyFont="1" applyBorder="1" applyAlignment="1">
      <alignment horizontal="right"/>
    </xf>
    <xf numFmtId="0" fontId="27" fillId="0" borderId="20" xfId="0" applyFont="1" applyBorder="1" applyAlignment="1">
      <alignment wrapText="1"/>
    </xf>
    <xf numFmtId="0" fontId="17" fillId="0" borderId="23" xfId="0" applyFont="1" applyBorder="1" applyAlignment="1">
      <alignment horizontal="right"/>
    </xf>
    <xf numFmtId="0" fontId="21" fillId="0" borderId="20" xfId="0" applyFont="1" applyBorder="1"/>
    <xf numFmtId="0" fontId="17" fillId="0" borderId="20" xfId="0" applyFont="1" applyBorder="1" applyAlignment="1">
      <alignment horizontal="right"/>
    </xf>
    <xf numFmtId="164" fontId="27" fillId="0" borderId="20" xfId="0" applyNumberFormat="1" applyFont="1" applyBorder="1" applyAlignment="1">
      <alignment horizontal="center" wrapText="1"/>
    </xf>
    <xf numFmtId="164" fontId="27" fillId="0" borderId="0" xfId="0" applyNumberFormat="1" applyFont="1" applyAlignment="1">
      <alignment horizontal="center" vertical="top" wrapText="1"/>
    </xf>
    <xf numFmtId="175" fontId="3" fillId="0" borderId="23" xfId="5" applyNumberFormat="1" applyFont="1" applyBorder="1" applyAlignment="1" applyProtection="1">
      <alignment horizontal="center" vertical="center"/>
      <protection locked="0"/>
    </xf>
    <xf numFmtId="175" fontId="3" fillId="0" borderId="59" xfId="5" applyNumberFormat="1" applyFont="1" applyBorder="1" applyAlignment="1" applyProtection="1">
      <alignment horizontal="center" vertical="center"/>
      <protection locked="0"/>
    </xf>
    <xf numFmtId="167" fontId="3" fillId="0" borderId="23" xfId="5" applyNumberFormat="1" applyFont="1" applyBorder="1" applyAlignment="1" applyProtection="1">
      <alignment horizontal="center" vertical="center"/>
      <protection locked="0"/>
    </xf>
    <xf numFmtId="167" fontId="3" fillId="0" borderId="59" xfId="5" applyNumberFormat="1" applyFont="1" applyBorder="1" applyAlignment="1" applyProtection="1">
      <alignment horizontal="center" vertical="center"/>
      <protection locked="0"/>
    </xf>
    <xf numFmtId="167" fontId="54" fillId="13" borderId="23" xfId="5" applyNumberFormat="1" applyFont="1" applyFill="1" applyBorder="1" applyAlignment="1" applyProtection="1">
      <alignment horizontal="center" vertical="center"/>
      <protection locked="0"/>
    </xf>
    <xf numFmtId="167" fontId="3" fillId="13" borderId="59" xfId="5" applyNumberFormat="1" applyFont="1" applyFill="1" applyBorder="1" applyAlignment="1" applyProtection="1">
      <alignment horizontal="center" vertical="center"/>
      <protection locked="0"/>
    </xf>
    <xf numFmtId="0" fontId="86" fillId="0" borderId="0" xfId="0" applyFont="1" applyAlignment="1">
      <alignment vertical="center"/>
    </xf>
    <xf numFmtId="1" fontId="53" fillId="0" borderId="101" xfId="0" applyNumberFormat="1" applyFont="1" applyBorder="1" applyAlignment="1" applyProtection="1">
      <alignment horizontal="centerContinuous"/>
      <protection locked="0"/>
    </xf>
    <xf numFmtId="1" fontId="17" fillId="0" borderId="101" xfId="0" applyNumberFormat="1" applyFont="1" applyBorder="1" applyAlignment="1" applyProtection="1">
      <alignment horizontal="centerContinuous"/>
      <protection locked="0"/>
    </xf>
    <xf numFmtId="1" fontId="17" fillId="0" borderId="11" xfId="0" applyNumberFormat="1" applyFont="1" applyBorder="1" applyAlignment="1" applyProtection="1">
      <alignment horizontal="center"/>
      <protection locked="0"/>
    </xf>
    <xf numFmtId="0" fontId="36" fillId="8" borderId="14" xfId="0" applyFont="1" applyFill="1" applyBorder="1" applyAlignment="1" applyProtection="1">
      <alignment horizontal="right"/>
      <protection locked="0"/>
    </xf>
    <xf numFmtId="0" fontId="52" fillId="0" borderId="0" xfId="0" applyFont="1" applyAlignment="1">
      <alignment vertical="center"/>
    </xf>
    <xf numFmtId="9" fontId="62" fillId="8" borderId="44" xfId="6" applyFont="1" applyFill="1" applyBorder="1" applyAlignment="1" applyProtection="1">
      <alignment horizontal="center" vertical="center"/>
      <protection locked="0"/>
    </xf>
    <xf numFmtId="2" fontId="21" fillId="7" borderId="0" xfId="0" applyNumberFormat="1" applyFont="1" applyFill="1" applyAlignment="1">
      <alignment horizontal="center"/>
    </xf>
    <xf numFmtId="164" fontId="37" fillId="0" borderId="0" xfId="0" applyNumberFormat="1" applyFont="1" applyAlignment="1">
      <alignment horizontal="center" vertical="center"/>
    </xf>
    <xf numFmtId="2" fontId="3" fillId="0" borderId="69" xfId="0" applyNumberFormat="1" applyFont="1" applyBorder="1" applyAlignment="1">
      <alignment horizontal="center"/>
    </xf>
    <xf numFmtId="2" fontId="3" fillId="0" borderId="8" xfId="0" applyNumberFormat="1" applyFont="1" applyBorder="1" applyAlignment="1" applyProtection="1">
      <alignment horizontal="center"/>
      <protection locked="0"/>
    </xf>
    <xf numFmtId="2" fontId="3" fillId="0" borderId="28" xfId="0" applyNumberFormat="1" applyFont="1" applyBorder="1" applyAlignment="1">
      <alignment horizontal="center"/>
    </xf>
    <xf numFmtId="2" fontId="3" fillId="0" borderId="50" xfId="0" applyNumberFormat="1" applyFont="1" applyBorder="1" applyAlignment="1" applyProtection="1">
      <alignment horizontal="center"/>
      <protection locked="0"/>
    </xf>
    <xf numFmtId="2" fontId="3" fillId="0" borderId="13" xfId="0" applyNumberFormat="1" applyFont="1" applyBorder="1" applyAlignment="1">
      <alignment horizontal="center"/>
    </xf>
    <xf numFmtId="2" fontId="37" fillId="13" borderId="25" xfId="0" applyNumberFormat="1" applyFont="1" applyFill="1" applyBorder="1" applyAlignment="1">
      <alignment horizontal="center"/>
    </xf>
    <xf numFmtId="2" fontId="3" fillId="13" borderId="39" xfId="0" applyNumberFormat="1" applyFont="1" applyFill="1" applyBorder="1" applyAlignment="1">
      <alignment horizontal="center"/>
    </xf>
    <xf numFmtId="2" fontId="3" fillId="0" borderId="9" xfId="0" applyNumberFormat="1" applyFont="1" applyBorder="1" applyAlignment="1">
      <alignment horizontal="center"/>
    </xf>
    <xf numFmtId="2" fontId="3" fillId="0" borderId="14" xfId="0" applyNumberFormat="1" applyFont="1" applyBorder="1" applyAlignment="1">
      <alignment horizontal="center"/>
    </xf>
    <xf numFmtId="2" fontId="3" fillId="13" borderId="15" xfId="0" applyNumberFormat="1" applyFont="1" applyFill="1" applyBorder="1" applyAlignment="1">
      <alignment horizontal="center"/>
    </xf>
    <xf numFmtId="2" fontId="3" fillId="13" borderId="14" xfId="0" applyNumberFormat="1" applyFont="1" applyFill="1" applyBorder="1" applyAlignment="1">
      <alignment horizontal="center"/>
    </xf>
    <xf numFmtId="0" fontId="21" fillId="0" borderId="0" xfId="0" applyFont="1" applyAlignment="1">
      <alignment horizontal="right" vertical="top"/>
    </xf>
    <xf numFmtId="0" fontId="21" fillId="0" borderId="0" xfId="0" applyFont="1" applyAlignment="1">
      <alignment horizontal="right"/>
    </xf>
    <xf numFmtId="0" fontId="104" fillId="0" borderId="0" xfId="0" applyFont="1" applyAlignment="1">
      <alignment horizontal="right" vertical="center" wrapText="1"/>
    </xf>
    <xf numFmtId="0" fontId="17" fillId="16" borderId="0" xfId="0" applyFont="1" applyFill="1"/>
    <xf numFmtId="0" fontId="36" fillId="0" borderId="16" xfId="2" applyFont="1" applyBorder="1"/>
    <xf numFmtId="0" fontId="36" fillId="0" borderId="43" xfId="2" applyFont="1" applyBorder="1"/>
    <xf numFmtId="0" fontId="36" fillId="0" borderId="16" xfId="2" applyFont="1" applyBorder="1" applyAlignment="1">
      <alignment horizontal="center"/>
    </xf>
    <xf numFmtId="0" fontId="3" fillId="0" borderId="60" xfId="2" applyBorder="1" applyAlignment="1" applyProtection="1">
      <alignment vertical="center"/>
      <protection locked="0"/>
    </xf>
    <xf numFmtId="0" fontId="3" fillId="0" borderId="61" xfId="2" applyBorder="1" applyAlignment="1" applyProtection="1">
      <alignment horizontal="center" vertical="center"/>
      <protection locked="0"/>
    </xf>
    <xf numFmtId="0" fontId="3" fillId="0" borderId="60" xfId="2" applyBorder="1" applyAlignment="1" applyProtection="1">
      <alignment horizontal="center" vertical="center"/>
      <protection locked="0"/>
    </xf>
    <xf numFmtId="0" fontId="36" fillId="0" borderId="61" xfId="2" applyFont="1" applyBorder="1" applyAlignment="1" applyProtection="1">
      <alignment horizontal="center" vertical="center"/>
      <protection locked="0"/>
    </xf>
    <xf numFmtId="0" fontId="36" fillId="0" borderId="60" xfId="2" applyFont="1" applyBorder="1" applyAlignment="1" applyProtection="1">
      <alignment vertical="center"/>
      <protection locked="0"/>
    </xf>
    <xf numFmtId="176" fontId="3" fillId="0" borderId="16" xfId="5" applyNumberFormat="1" applyFont="1" applyBorder="1" applyProtection="1">
      <protection locked="0"/>
    </xf>
    <xf numFmtId="176" fontId="3" fillId="0" borderId="6" xfId="5" applyNumberFormat="1" applyFont="1" applyBorder="1" applyAlignment="1" applyProtection="1">
      <alignment horizontal="center"/>
      <protection locked="0"/>
    </xf>
    <xf numFmtId="0" fontId="0" fillId="0" borderId="0" xfId="0" applyAlignment="1">
      <alignment vertical="top"/>
    </xf>
    <xf numFmtId="0" fontId="37" fillId="8" borderId="15" xfId="0" applyFont="1" applyFill="1" applyBorder="1" applyAlignment="1" applyProtection="1">
      <alignment horizontal="center" vertical="center" wrapText="1"/>
      <protection locked="0"/>
    </xf>
    <xf numFmtId="2" fontId="21" fillId="11" borderId="14" xfId="0" applyNumberFormat="1" applyFont="1" applyFill="1" applyBorder="1" applyAlignment="1" applyProtection="1">
      <alignment vertical="center"/>
      <protection locked="0"/>
    </xf>
    <xf numFmtId="164" fontId="22" fillId="0" borderId="0" xfId="0" quotePrefix="1" applyNumberFormat="1" applyFont="1" applyAlignment="1">
      <alignment horizontal="right"/>
    </xf>
    <xf numFmtId="0" fontId="21" fillId="0" borderId="106" xfId="0" applyFont="1" applyBorder="1" applyAlignment="1" applyProtection="1">
      <alignment horizontal="center"/>
      <protection locked="0"/>
    </xf>
    <xf numFmtId="0" fontId="3" fillId="3" borderId="0" xfId="0" applyFont="1" applyFill="1" applyAlignment="1">
      <alignment horizontal="center"/>
    </xf>
    <xf numFmtId="0" fontId="3" fillId="3" borderId="10"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79" fillId="0" borderId="0" xfId="0" applyFont="1"/>
    <xf numFmtId="0" fontId="93" fillId="0" borderId="0" xfId="0" applyFont="1"/>
    <xf numFmtId="0" fontId="0" fillId="0" borderId="0" xfId="0" applyAlignment="1">
      <alignment horizontal="right"/>
    </xf>
    <xf numFmtId="0" fontId="107" fillId="0" borderId="16" xfId="0" applyFont="1" applyBorder="1"/>
    <xf numFmtId="0" fontId="17" fillId="0" borderId="0" xfId="0" applyFont="1" applyAlignment="1">
      <alignment vertical="top"/>
    </xf>
    <xf numFmtId="2" fontId="27" fillId="0" borderId="0" xfId="0" applyNumberFormat="1" applyFont="1" applyAlignment="1">
      <alignment horizontal="left" vertical="center"/>
    </xf>
    <xf numFmtId="0" fontId="38" fillId="0" borderId="0" xfId="0" applyFont="1"/>
    <xf numFmtId="164" fontId="22" fillId="0" borderId="0" xfId="0" applyNumberFormat="1" applyFont="1" applyAlignment="1">
      <alignment horizontal="left" wrapText="1"/>
    </xf>
    <xf numFmtId="0" fontId="22" fillId="0" borderId="0" xfId="0" applyFont="1" applyAlignment="1">
      <alignment horizontal="center"/>
    </xf>
    <xf numFmtId="0" fontId="29" fillId="0" borderId="0" xfId="0" applyFont="1" applyAlignment="1">
      <alignment horizontal="center" vertical="center"/>
    </xf>
    <xf numFmtId="0" fontId="21" fillId="0" borderId="43" xfId="0" applyFont="1" applyBorder="1" applyAlignment="1" applyProtection="1">
      <alignment horizontal="center"/>
      <protection locked="0"/>
    </xf>
    <xf numFmtId="0" fontId="21" fillId="0" borderId="16" xfId="0" applyFont="1" applyBorder="1" applyAlignment="1" applyProtection="1">
      <alignment horizontal="center"/>
      <protection locked="0"/>
    </xf>
    <xf numFmtId="0" fontId="21" fillId="0" borderId="43" xfId="0" applyFont="1" applyBorder="1" applyProtection="1">
      <protection locked="0"/>
    </xf>
    <xf numFmtId="0" fontId="37" fillId="0" borderId="0" xfId="0" applyFont="1" applyAlignment="1">
      <alignment horizontal="left" vertical="center" wrapText="1"/>
    </xf>
    <xf numFmtId="0" fontId="22" fillId="0" borderId="20" xfId="0" applyFont="1" applyBorder="1" applyAlignment="1">
      <alignment horizontal="center"/>
    </xf>
    <xf numFmtId="0" fontId="17" fillId="0" borderId="0" xfId="0" applyFont="1" applyAlignment="1">
      <alignment horizontal="right" wrapText="1"/>
    </xf>
    <xf numFmtId="0" fontId="17" fillId="0" borderId="9" xfId="0" applyFont="1" applyBorder="1" applyAlignment="1">
      <alignment horizontal="center" vertical="center" wrapText="1"/>
    </xf>
    <xf numFmtId="0" fontId="3" fillId="13" borderId="6"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3" fillId="0" borderId="0" xfId="0" applyFont="1" applyAlignment="1">
      <alignment horizontal="center" vertical="center" wrapText="1"/>
    </xf>
    <xf numFmtId="0" fontId="17" fillId="7" borderId="39" xfId="0" applyFont="1" applyFill="1" applyBorder="1" applyAlignment="1">
      <alignment horizontal="center" vertical="center" wrapText="1"/>
    </xf>
    <xf numFmtId="0" fontId="34" fillId="0" borderId="0" xfId="0" applyFont="1"/>
    <xf numFmtId="0" fontId="0" fillId="0" borderId="0" xfId="0" applyAlignment="1">
      <alignment wrapText="1"/>
    </xf>
    <xf numFmtId="0" fontId="21" fillId="7" borderId="0" xfId="0" applyFont="1" applyFill="1"/>
    <xf numFmtId="0" fontId="3" fillId="0" borderId="0" xfId="2" applyAlignment="1">
      <alignment horizontal="right"/>
    </xf>
    <xf numFmtId="0" fontId="3" fillId="0" borderId="16" xfId="2" applyBorder="1" applyAlignment="1" applyProtection="1">
      <alignment horizontal="center"/>
      <protection locked="0"/>
    </xf>
    <xf numFmtId="0" fontId="3" fillId="0" borderId="43" xfId="2" applyBorder="1" applyAlignment="1" applyProtection="1">
      <alignment horizontal="center"/>
      <protection locked="0"/>
    </xf>
    <xf numFmtId="0" fontId="17" fillId="0" borderId="0" xfId="2" applyFont="1" applyAlignment="1">
      <alignment horizontal="left"/>
    </xf>
    <xf numFmtId="0" fontId="3" fillId="0" borderId="0" xfId="2" applyAlignment="1">
      <alignment horizontal="left"/>
    </xf>
    <xf numFmtId="0" fontId="17" fillId="0" borderId="0" xfId="2" applyFont="1"/>
    <xf numFmtId="0" fontId="41" fillId="0" borderId="0" xfId="2" applyFont="1"/>
    <xf numFmtId="0" fontId="3" fillId="2" borderId="16" xfId="0" applyFont="1" applyFill="1" applyBorder="1"/>
    <xf numFmtId="0" fontId="3" fillId="2" borderId="0" xfId="0" applyFont="1" applyFill="1"/>
    <xf numFmtId="0" fontId="3" fillId="9" borderId="0" xfId="0" applyFont="1" applyFill="1"/>
    <xf numFmtId="0" fontId="3" fillId="4" borderId="92" xfId="0" applyFont="1" applyFill="1" applyBorder="1" applyAlignment="1">
      <alignment horizontal="center"/>
    </xf>
    <xf numFmtId="0" fontId="3" fillId="4" borderId="51" xfId="0" applyFont="1" applyFill="1" applyBorder="1" applyAlignment="1">
      <alignment horizontal="center"/>
    </xf>
    <xf numFmtId="0" fontId="3" fillId="4" borderId="13" xfId="0" applyFont="1" applyFill="1" applyBorder="1" applyAlignment="1">
      <alignment horizontal="center"/>
    </xf>
    <xf numFmtId="0" fontId="3" fillId="0" borderId="44" xfId="0" applyFont="1" applyBorder="1" applyAlignment="1" applyProtection="1">
      <alignment horizontal="center"/>
      <protection locked="0"/>
    </xf>
    <xf numFmtId="22" fontId="3" fillId="0" borderId="47" xfId="0" applyNumberFormat="1" applyFont="1" applyBorder="1" applyAlignment="1" applyProtection="1">
      <alignment horizontal="center"/>
      <protection locked="0"/>
    </xf>
    <xf numFmtId="0" fontId="3" fillId="0" borderId="6" xfId="0" applyFont="1" applyBorder="1" applyAlignment="1" applyProtection="1">
      <alignment horizontal="center"/>
      <protection locked="0"/>
    </xf>
    <xf numFmtId="0" fontId="3" fillId="0" borderId="37" xfId="0" applyFont="1" applyBorder="1" applyAlignment="1" applyProtection="1">
      <alignment horizontal="left" wrapText="1"/>
      <protection locked="0"/>
    </xf>
    <xf numFmtId="0" fontId="3" fillId="0" borderId="7"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33" xfId="0" applyFont="1" applyBorder="1" applyAlignment="1" applyProtection="1">
      <alignment horizontal="left" wrapText="1"/>
      <protection locked="0"/>
    </xf>
    <xf numFmtId="0" fontId="3" fillId="0" borderId="35" xfId="0" applyFont="1" applyBorder="1" applyAlignment="1" applyProtection="1">
      <alignment horizontal="center"/>
      <protection locked="0"/>
    </xf>
    <xf numFmtId="0" fontId="9" fillId="0" borderId="0" xfId="0" applyFont="1" applyAlignment="1">
      <alignment vertical="center" wrapText="1"/>
    </xf>
    <xf numFmtId="0" fontId="3" fillId="0" borderId="0" xfId="0" applyFont="1" applyAlignment="1">
      <alignment horizontal="center" vertical="center"/>
    </xf>
    <xf numFmtId="0" fontId="3" fillId="3" borderId="24" xfId="0" applyFont="1" applyFill="1" applyBorder="1" applyAlignment="1">
      <alignment horizontal="center"/>
    </xf>
    <xf numFmtId="0" fontId="3" fillId="3" borderId="20" xfId="0" applyFont="1" applyFill="1" applyBorder="1" applyAlignment="1">
      <alignment horizontal="center"/>
    </xf>
    <xf numFmtId="0" fontId="3" fillId="3" borderId="23" xfId="0" applyFont="1" applyFill="1" applyBorder="1" applyAlignment="1">
      <alignment horizontal="center"/>
    </xf>
    <xf numFmtId="0" fontId="3" fillId="3" borderId="1" xfId="0" applyFont="1" applyFill="1" applyBorder="1" applyAlignment="1">
      <alignment horizontal="center"/>
    </xf>
    <xf numFmtId="0" fontId="3" fillId="3" borderId="27" xfId="0" applyFont="1" applyFill="1" applyBorder="1" applyAlignment="1">
      <alignment horizontal="center"/>
    </xf>
    <xf numFmtId="0" fontId="3" fillId="9" borderId="11" xfId="0" applyFont="1" applyFill="1" applyBorder="1" applyAlignment="1">
      <alignment horizontal="center"/>
    </xf>
    <xf numFmtId="0" fontId="3" fillId="9" borderId="21" xfId="0" applyFont="1" applyFill="1" applyBorder="1" applyAlignment="1">
      <alignment horizontal="center"/>
    </xf>
    <xf numFmtId="0" fontId="3" fillId="5" borderId="37" xfId="0" applyFont="1" applyFill="1" applyBorder="1"/>
    <xf numFmtId="0" fontId="3" fillId="5" borderId="11" xfId="0" applyFont="1" applyFill="1" applyBorder="1"/>
    <xf numFmtId="0" fontId="3" fillId="3" borderId="0" xfId="0" applyFont="1" applyFill="1" applyAlignment="1">
      <alignment horizontal="left" vertical="center"/>
    </xf>
    <xf numFmtId="0" fontId="3" fillId="3" borderId="0" xfId="0" applyFont="1" applyFill="1" applyAlignment="1">
      <alignment horizontal="left" vertical="top"/>
    </xf>
    <xf numFmtId="0" fontId="3" fillId="0" borderId="16" xfId="0" applyFont="1" applyBorder="1" applyAlignment="1">
      <alignment horizontal="center"/>
    </xf>
    <xf numFmtId="0" fontId="3" fillId="0" borderId="0" xfId="0" applyFont="1" applyAlignment="1">
      <alignment horizontal="right"/>
    </xf>
    <xf numFmtId="0" fontId="3" fillId="9" borderId="26" xfId="0" applyFont="1" applyFill="1" applyBorder="1" applyAlignment="1">
      <alignment horizontal="center"/>
    </xf>
    <xf numFmtId="9" fontId="3" fillId="3" borderId="33" xfId="0" applyNumberFormat="1" applyFont="1" applyFill="1" applyBorder="1" applyAlignment="1">
      <alignment horizontal="center"/>
    </xf>
    <xf numFmtId="0" fontId="3" fillId="3" borderId="43" xfId="0" applyFont="1" applyFill="1" applyBorder="1" applyAlignment="1">
      <alignment horizontal="center"/>
    </xf>
    <xf numFmtId="0" fontId="3" fillId="0" borderId="1" xfId="0" applyFont="1" applyBorder="1" applyAlignment="1">
      <alignment horizontal="center"/>
    </xf>
    <xf numFmtId="0" fontId="52" fillId="0" borderId="0" xfId="0" applyFont="1"/>
    <xf numFmtId="14" fontId="23" fillId="0" borderId="20" xfId="0" applyNumberFormat="1" applyFont="1" applyBorder="1" applyAlignment="1" applyProtection="1">
      <alignment horizontal="right"/>
      <protection locked="0"/>
    </xf>
    <xf numFmtId="0" fontId="37" fillId="0" borderId="0" xfId="0" applyFont="1" applyAlignment="1">
      <alignment vertical="top" wrapText="1"/>
    </xf>
    <xf numFmtId="3" fontId="3" fillId="0" borderId="9" xfId="0" applyNumberFormat="1" applyFont="1" applyBorder="1" applyAlignment="1" applyProtection="1">
      <alignment horizontal="center" vertical="center"/>
      <protection locked="0"/>
    </xf>
    <xf numFmtId="0" fontId="102" fillId="0" borderId="0" xfId="0" applyFont="1" applyAlignment="1">
      <alignment vertical="center" wrapText="1"/>
    </xf>
    <xf numFmtId="0" fontId="34" fillId="7" borderId="0" xfId="0" applyFont="1" applyFill="1" applyAlignment="1">
      <alignment vertical="top"/>
    </xf>
    <xf numFmtId="175" fontId="0" fillId="0" borderId="23" xfId="5" applyNumberFormat="1" applyFont="1" applyBorder="1" applyProtection="1">
      <protection locked="0"/>
    </xf>
    <xf numFmtId="175" fontId="0" fillId="0" borderId="11" xfId="5" applyNumberFormat="1" applyFont="1" applyBorder="1" applyProtection="1">
      <protection locked="0"/>
    </xf>
    <xf numFmtId="175" fontId="0" fillId="0" borderId="59" xfId="5" applyNumberFormat="1" applyFont="1" applyBorder="1" applyProtection="1">
      <protection locked="0"/>
    </xf>
    <xf numFmtId="175" fontId="0" fillId="0" borderId="32" xfId="5" applyNumberFormat="1" applyFont="1" applyBorder="1" applyProtection="1">
      <protection locked="0"/>
    </xf>
    <xf numFmtId="175" fontId="0" fillId="0" borderId="7" xfId="5" applyNumberFormat="1" applyFont="1" applyBorder="1" applyProtection="1">
      <protection locked="0"/>
    </xf>
    <xf numFmtId="175" fontId="0" fillId="0" borderId="35" xfId="5" applyNumberFormat="1" applyFont="1" applyBorder="1" applyProtection="1">
      <protection locked="0"/>
    </xf>
    <xf numFmtId="0" fontId="36" fillId="0" borderId="107" xfId="0" applyFont="1" applyBorder="1" applyAlignment="1" applyProtection="1">
      <alignment vertical="center"/>
      <protection locked="0"/>
    </xf>
    <xf numFmtId="0" fontId="36" fillId="0" borderId="108" xfId="0" applyFont="1" applyBorder="1" applyProtection="1">
      <protection locked="0"/>
    </xf>
    <xf numFmtId="0" fontId="36" fillId="0" borderId="109" xfId="0" applyFont="1" applyBorder="1" applyProtection="1">
      <protection locked="0"/>
    </xf>
    <xf numFmtId="0" fontId="36" fillId="0" borderId="20" xfId="0" applyFont="1" applyBorder="1" applyProtection="1">
      <protection locked="0"/>
    </xf>
    <xf numFmtId="0" fontId="36" fillId="0" borderId="107" xfId="0" applyFont="1" applyBorder="1" applyAlignment="1" applyProtection="1">
      <alignment vertical="center" wrapText="1"/>
      <protection locked="0"/>
    </xf>
    <xf numFmtId="0" fontId="36" fillId="0" borderId="108" xfId="0" applyFont="1" applyBorder="1" applyAlignment="1" applyProtection="1">
      <alignment wrapText="1"/>
      <protection locked="0"/>
    </xf>
    <xf numFmtId="0" fontId="36" fillId="0" borderId="109" xfId="0" applyFont="1" applyBorder="1" applyAlignment="1" applyProtection="1">
      <alignment wrapText="1"/>
      <protection locked="0"/>
    </xf>
    <xf numFmtId="0" fontId="36" fillId="0" borderId="20" xfId="0" applyFont="1" applyBorder="1" applyAlignment="1" applyProtection="1">
      <alignment wrapText="1"/>
      <protection locked="0"/>
    </xf>
    <xf numFmtId="0" fontId="50" fillId="0" borderId="0" xfId="4" applyProtection="1">
      <protection locked="0"/>
    </xf>
    <xf numFmtId="0" fontId="21" fillId="0" borderId="43" xfId="0" applyFont="1" applyBorder="1" applyAlignment="1" applyProtection="1">
      <alignment horizontal="left"/>
      <protection locked="0"/>
    </xf>
    <xf numFmtId="0" fontId="22" fillId="0" borderId="0" xfId="0" applyFont="1" applyAlignment="1">
      <alignment horizontal="left" wrapText="1"/>
    </xf>
    <xf numFmtId="173" fontId="21" fillId="0" borderId="43" xfId="0" applyNumberFormat="1" applyFont="1" applyBorder="1" applyAlignment="1">
      <alignment horizontal="left"/>
    </xf>
    <xf numFmtId="0" fontId="21" fillId="0" borderId="16" xfId="5" applyNumberFormat="1" applyFont="1" applyBorder="1" applyAlignment="1" applyProtection="1">
      <alignment horizontal="left"/>
      <protection locked="0"/>
    </xf>
    <xf numFmtId="168" fontId="37" fillId="10" borderId="39" xfId="0" applyNumberFormat="1" applyFont="1" applyFill="1" applyBorder="1" applyAlignment="1" applyProtection="1">
      <alignment horizontal="center" vertical="center"/>
      <protection locked="0"/>
    </xf>
    <xf numFmtId="0" fontId="113" fillId="0" borderId="0" xfId="4" applyFont="1" applyBorder="1" applyAlignment="1" applyProtection="1"/>
    <xf numFmtId="0" fontId="61" fillId="0" borderId="10" xfId="0" applyFont="1" applyBorder="1"/>
    <xf numFmtId="0" fontId="61" fillId="0" borderId="20" xfId="0" applyFont="1" applyBorder="1"/>
    <xf numFmtId="0" fontId="61" fillId="0" borderId="23" xfId="0" applyFont="1" applyBorder="1"/>
    <xf numFmtId="0" fontId="21" fillId="0" borderId="0" xfId="0" applyFont="1" applyAlignment="1">
      <alignment vertical="center" wrapText="1"/>
    </xf>
    <xf numFmtId="2" fontId="21" fillId="24" borderId="54" xfId="0" applyNumberFormat="1" applyFont="1" applyFill="1" applyBorder="1" applyAlignment="1">
      <alignment horizontal="center"/>
    </xf>
    <xf numFmtId="2" fontId="21" fillId="24" borderId="24" xfId="0" applyNumberFormat="1" applyFont="1" applyFill="1" applyBorder="1" applyAlignment="1">
      <alignment horizontal="center"/>
    </xf>
    <xf numFmtId="1" fontId="21" fillId="24" borderId="58" xfId="0" applyNumberFormat="1" applyFont="1" applyFill="1" applyBorder="1" applyAlignment="1">
      <alignment horizontal="center"/>
    </xf>
    <xf numFmtId="2" fontId="21" fillId="24" borderId="47" xfId="0" applyNumberFormat="1" applyFont="1" applyFill="1" applyBorder="1" applyAlignment="1">
      <alignment horizontal="center"/>
    </xf>
    <xf numFmtId="2" fontId="21" fillId="24" borderId="7" xfId="0" applyNumberFormat="1" applyFont="1" applyFill="1" applyBorder="1" applyAlignment="1">
      <alignment horizontal="center"/>
    </xf>
    <xf numFmtId="2" fontId="21" fillId="24" borderId="35" xfId="0" applyNumberFormat="1" applyFont="1" applyFill="1" applyBorder="1" applyAlignment="1">
      <alignment horizontal="center"/>
    </xf>
    <xf numFmtId="9" fontId="36" fillId="10" borderId="6" xfId="6" applyFont="1" applyFill="1" applyBorder="1" applyAlignment="1">
      <alignment horizontal="center" vertical="center" wrapText="1"/>
    </xf>
    <xf numFmtId="0" fontId="33" fillId="0" borderId="26" xfId="0" applyFont="1" applyBorder="1"/>
    <xf numFmtId="0" fontId="3" fillId="0" borderId="22" xfId="0" applyFont="1" applyBorder="1"/>
    <xf numFmtId="0" fontId="3" fillId="0" borderId="27" xfId="0" applyFont="1" applyBorder="1"/>
    <xf numFmtId="0" fontId="3" fillId="0" borderId="24" xfId="0" applyFont="1" applyBorder="1"/>
    <xf numFmtId="0" fontId="3" fillId="0" borderId="20" xfId="0" applyFont="1" applyBorder="1"/>
    <xf numFmtId="0" fontId="36" fillId="0" borderId="0" xfId="0" applyFont="1" applyAlignment="1">
      <alignment horizontal="left" indent="1"/>
    </xf>
    <xf numFmtId="0" fontId="37" fillId="8" borderId="14" xfId="0" applyFont="1" applyFill="1" applyBorder="1" applyAlignment="1" applyProtection="1">
      <alignment horizontal="center" vertical="center" wrapText="1"/>
      <protection locked="0"/>
    </xf>
    <xf numFmtId="0" fontId="36" fillId="0" borderId="0" xfId="0" applyFont="1" applyAlignment="1">
      <alignment vertical="center"/>
    </xf>
    <xf numFmtId="0" fontId="17" fillId="0" borderId="0" xfId="0" applyFont="1" applyAlignment="1">
      <alignment vertical="center" wrapText="1"/>
    </xf>
    <xf numFmtId="2" fontId="84" fillId="0" borderId="32" xfId="0" applyNumberFormat="1" applyFont="1" applyBorder="1" applyAlignment="1">
      <alignment horizontal="center" vertical="center"/>
    </xf>
    <xf numFmtId="2" fontId="84" fillId="0" borderId="7" xfId="0" applyNumberFormat="1" applyFont="1" applyBorder="1" applyAlignment="1">
      <alignment horizontal="center" vertical="center"/>
    </xf>
    <xf numFmtId="2" fontId="84" fillId="0" borderId="35" xfId="0" applyNumberFormat="1" applyFont="1" applyBorder="1" applyAlignment="1">
      <alignment horizontal="center" vertical="center"/>
    </xf>
    <xf numFmtId="0" fontId="3" fillId="15" borderId="59" xfId="0" applyFont="1" applyFill="1" applyBorder="1" applyAlignment="1">
      <alignment horizontal="center" wrapText="1"/>
    </xf>
    <xf numFmtId="1" fontId="115" fillId="15" borderId="23" xfId="0" applyNumberFormat="1" applyFont="1" applyFill="1" applyBorder="1" applyAlignment="1">
      <alignment vertical="center"/>
    </xf>
    <xf numFmtId="1" fontId="115" fillId="15" borderId="11" xfId="0" applyNumberFormat="1" applyFont="1" applyFill="1" applyBorder="1" applyAlignment="1">
      <alignment vertical="center"/>
    </xf>
    <xf numFmtId="0" fontId="0" fillId="8" borderId="6" xfId="0" applyFill="1" applyBorder="1" applyAlignment="1" applyProtection="1">
      <alignment horizontal="right"/>
      <protection locked="0"/>
    </xf>
    <xf numFmtId="0" fontId="37" fillId="0" borderId="20" xfId="0" applyFont="1" applyBorder="1" applyAlignment="1">
      <alignment vertical="center"/>
    </xf>
    <xf numFmtId="0" fontId="0" fillId="0" borderId="20" xfId="0" applyBorder="1" applyAlignment="1">
      <alignment horizontal="right"/>
    </xf>
    <xf numFmtId="165" fontId="37" fillId="0" borderId="9" xfId="0" applyNumberFormat="1" applyFont="1" applyBorder="1" applyAlignment="1" applyProtection="1">
      <alignment horizontal="center"/>
      <protection locked="0"/>
    </xf>
    <xf numFmtId="165" fontId="37" fillId="0" borderId="14" xfId="0" applyNumberFormat="1" applyFont="1" applyBorder="1" applyAlignment="1" applyProtection="1">
      <alignment horizontal="center"/>
      <protection locked="0"/>
    </xf>
    <xf numFmtId="0" fontId="15" fillId="5" borderId="37" xfId="0" applyFont="1" applyFill="1" applyBorder="1" applyAlignment="1">
      <alignment vertical="center"/>
    </xf>
    <xf numFmtId="165" fontId="37" fillId="0" borderId="23" xfId="0" applyNumberFormat="1" applyFont="1" applyBorder="1" applyAlignment="1" applyProtection="1">
      <alignment horizontal="center"/>
      <protection locked="0"/>
    </xf>
    <xf numFmtId="165" fontId="37" fillId="0" borderId="59" xfId="0" applyNumberFormat="1" applyFont="1" applyBorder="1" applyAlignment="1" applyProtection="1">
      <alignment horizontal="center"/>
      <protection locked="0"/>
    </xf>
    <xf numFmtId="165" fontId="37" fillId="0" borderId="32" xfId="0" applyNumberFormat="1" applyFont="1" applyBorder="1" applyAlignment="1" applyProtection="1">
      <alignment horizontal="center"/>
      <protection locked="0"/>
    </xf>
    <xf numFmtId="165" fontId="37" fillId="0" borderId="35" xfId="0" applyNumberFormat="1" applyFont="1" applyBorder="1" applyAlignment="1" applyProtection="1">
      <alignment horizontal="center"/>
      <protection locked="0"/>
    </xf>
    <xf numFmtId="0" fontId="3" fillId="5" borderId="50" xfId="0" applyFont="1" applyFill="1" applyBorder="1"/>
    <xf numFmtId="2" fontId="17" fillId="8" borderId="6" xfId="0" applyNumberFormat="1" applyFont="1" applyFill="1" applyBorder="1" applyAlignment="1" applyProtection="1">
      <alignment horizontal="center"/>
      <protection locked="0"/>
    </xf>
    <xf numFmtId="2" fontId="17" fillId="8" borderId="9" xfId="0" applyNumberFormat="1" applyFont="1" applyFill="1" applyBorder="1" applyAlignment="1" applyProtection="1">
      <alignment horizontal="center"/>
      <protection locked="0"/>
    </xf>
    <xf numFmtId="0" fontId="17" fillId="25" borderId="16" xfId="0" applyFont="1" applyFill="1" applyBorder="1" applyAlignment="1">
      <alignment vertical="center" wrapText="1"/>
    </xf>
    <xf numFmtId="0" fontId="0" fillId="25" borderId="15" xfId="0" applyFill="1" applyBorder="1"/>
    <xf numFmtId="0" fontId="3" fillId="25" borderId="0" xfId="0" applyFont="1" applyFill="1"/>
    <xf numFmtId="164" fontId="3" fillId="25" borderId="0" xfId="0" applyNumberFormat="1" applyFont="1" applyFill="1" applyAlignment="1">
      <alignment horizontal="center"/>
    </xf>
    <xf numFmtId="0" fontId="17" fillId="25" borderId="5" xfId="0" applyFont="1" applyFill="1" applyBorder="1" applyAlignment="1">
      <alignment horizontal="center"/>
    </xf>
    <xf numFmtId="0" fontId="17" fillId="25" borderId="5" xfId="0" applyFont="1" applyFill="1" applyBorder="1" applyAlignment="1">
      <alignment vertical="center" wrapText="1"/>
    </xf>
    <xf numFmtId="0" fontId="3" fillId="25" borderId="5" xfId="0" applyFont="1" applyFill="1" applyBorder="1"/>
    <xf numFmtId="0" fontId="0" fillId="25" borderId="5" xfId="0" applyFill="1" applyBorder="1"/>
    <xf numFmtId="164" fontId="22" fillId="5" borderId="43" xfId="0" applyNumberFormat="1" applyFont="1" applyFill="1" applyBorder="1" applyAlignment="1">
      <alignment horizontal="centerContinuous"/>
    </xf>
    <xf numFmtId="0" fontId="17" fillId="26" borderId="39" xfId="0" applyFont="1" applyFill="1" applyBorder="1" applyAlignment="1">
      <alignment vertical="center" wrapText="1"/>
    </xf>
    <xf numFmtId="0" fontId="17" fillId="26" borderId="15" xfId="0" applyFont="1" applyFill="1" applyBorder="1" applyAlignment="1">
      <alignment vertical="center" wrapText="1"/>
    </xf>
    <xf numFmtId="9" fontId="0" fillId="26" borderId="9" xfId="6" applyFont="1" applyFill="1" applyBorder="1"/>
    <xf numFmtId="0" fontId="38" fillId="26" borderId="9" xfId="0" applyFont="1" applyFill="1" applyBorder="1"/>
    <xf numFmtId="9" fontId="0" fillId="26" borderId="14" xfId="6" applyFont="1" applyFill="1" applyBorder="1"/>
    <xf numFmtId="0" fontId="38" fillId="25" borderId="1" xfId="0" applyFont="1" applyFill="1" applyBorder="1"/>
    <xf numFmtId="0" fontId="17" fillId="26" borderId="17" xfId="0" applyFont="1" applyFill="1" applyBorder="1" applyAlignment="1">
      <alignment vertical="center" wrapText="1"/>
    </xf>
    <xf numFmtId="164" fontId="36" fillId="5" borderId="20" xfId="0" applyNumberFormat="1" applyFont="1" applyFill="1" applyBorder="1"/>
    <xf numFmtId="0" fontId="0" fillId="26" borderId="20" xfId="0" applyFill="1" applyBorder="1"/>
    <xf numFmtId="0" fontId="0" fillId="26" borderId="0" xfId="0" applyFill="1"/>
    <xf numFmtId="0" fontId="17" fillId="25" borderId="14" xfId="0" applyFont="1" applyFill="1" applyBorder="1" applyAlignment="1">
      <alignment vertical="center"/>
    </xf>
    <xf numFmtId="0" fontId="118" fillId="26" borderId="17" xfId="0" applyFont="1" applyFill="1" applyBorder="1" applyAlignment="1">
      <alignment vertical="center" wrapText="1"/>
    </xf>
    <xf numFmtId="9" fontId="119" fillId="26" borderId="23" xfId="6" applyFont="1" applyFill="1" applyBorder="1"/>
    <xf numFmtId="9" fontId="119" fillId="26" borderId="14" xfId="6" applyFont="1" applyFill="1" applyBorder="1"/>
    <xf numFmtId="9" fontId="119" fillId="26" borderId="59" xfId="6" applyFont="1" applyFill="1" applyBorder="1"/>
    <xf numFmtId="0" fontId="120" fillId="3" borderId="0" xfId="0" applyFont="1" applyFill="1" applyAlignment="1">
      <alignment horizontal="left" indent="1"/>
    </xf>
    <xf numFmtId="0" fontId="121" fillId="3" borderId="0" xfId="0" applyFont="1" applyFill="1" applyAlignment="1">
      <alignment horizontal="left" indent="1"/>
    </xf>
    <xf numFmtId="0" fontId="120" fillId="3" borderId="0" xfId="0" applyFont="1" applyFill="1" applyAlignment="1">
      <alignment horizontal="left" vertical="top" indent="1"/>
    </xf>
    <xf numFmtId="0" fontId="3" fillId="7" borderId="0" xfId="0" applyFont="1" applyFill="1" applyAlignment="1">
      <alignment horizontal="right" vertical="center" wrapText="1"/>
    </xf>
    <xf numFmtId="0" fontId="27" fillId="26" borderId="58" xfId="0" applyFont="1" applyFill="1" applyBorder="1" applyAlignment="1">
      <alignment horizontal="center"/>
    </xf>
    <xf numFmtId="164" fontId="17" fillId="26" borderId="59" xfId="0" applyNumberFormat="1" applyFont="1" applyFill="1" applyBorder="1" applyAlignment="1">
      <alignment horizontal="center"/>
    </xf>
    <xf numFmtId="164" fontId="17" fillId="26" borderId="86" xfId="0" applyNumberFormat="1" applyFont="1" applyFill="1" applyBorder="1" applyAlignment="1">
      <alignment horizontal="center"/>
    </xf>
    <xf numFmtId="164" fontId="17" fillId="26" borderId="59" xfId="0" applyNumberFormat="1" applyFont="1" applyFill="1" applyBorder="1" applyAlignment="1" applyProtection="1">
      <alignment horizontal="center"/>
      <protection locked="0"/>
    </xf>
    <xf numFmtId="164" fontId="17" fillId="26" borderId="86" xfId="0" applyNumberFormat="1" applyFont="1" applyFill="1" applyBorder="1" applyAlignment="1" applyProtection="1">
      <alignment horizontal="center"/>
      <protection locked="0"/>
    </xf>
    <xf numFmtId="3" fontId="27" fillId="26" borderId="9" xfId="0" applyNumberFormat="1" applyFont="1" applyFill="1" applyBorder="1" applyAlignment="1">
      <alignment horizontal="center"/>
    </xf>
    <xf numFmtId="164" fontId="17" fillId="26" borderId="44" xfId="0" applyNumberFormat="1" applyFont="1" applyFill="1" applyBorder="1" applyAlignment="1">
      <alignment horizontal="right" wrapText="1"/>
    </xf>
    <xf numFmtId="3" fontId="27" fillId="26" borderId="0" xfId="0" applyNumberFormat="1" applyFont="1" applyFill="1" applyAlignment="1">
      <alignment horizontal="center"/>
    </xf>
    <xf numFmtId="164" fontId="27" fillId="26" borderId="0" xfId="0" applyNumberFormat="1" applyFont="1" applyFill="1" applyAlignment="1">
      <alignment horizontal="center"/>
    </xf>
    <xf numFmtId="167" fontId="23" fillId="26" borderId="0" xfId="0" applyNumberFormat="1" applyFont="1" applyFill="1" applyAlignment="1">
      <alignment horizontal="center"/>
    </xf>
    <xf numFmtId="3" fontId="61" fillId="26" borderId="0" xfId="5" applyNumberFormat="1" applyFont="1" applyFill="1"/>
    <xf numFmtId="0" fontId="0" fillId="26" borderId="0" xfId="0" applyFill="1" applyProtection="1">
      <protection hidden="1"/>
    </xf>
    <xf numFmtId="0" fontId="61" fillId="26" borderId="0" xfId="0" applyFont="1" applyFill="1" applyProtection="1">
      <protection hidden="1"/>
    </xf>
    <xf numFmtId="3" fontId="0" fillId="26" borderId="0" xfId="5" applyNumberFormat="1" applyFont="1" applyFill="1"/>
    <xf numFmtId="0" fontId="34" fillId="26" borderId="0" xfId="0" applyFont="1" applyFill="1" applyAlignment="1" applyProtection="1">
      <alignment horizontal="right" vertical="top"/>
      <protection hidden="1"/>
    </xf>
    <xf numFmtId="0" fontId="98" fillId="26" borderId="0" xfId="0" applyFont="1" applyFill="1" applyAlignment="1">
      <alignment vertical="center" wrapText="1"/>
    </xf>
    <xf numFmtId="0" fontId="36" fillId="26" borderId="0" xfId="0" applyFont="1" applyFill="1" applyAlignment="1">
      <alignment wrapText="1"/>
    </xf>
    <xf numFmtId="0" fontId="37" fillId="26" borderId="0" xfId="0" applyFont="1" applyFill="1" applyAlignment="1">
      <alignment vertical="top" wrapText="1"/>
    </xf>
    <xf numFmtId="0" fontId="37" fillId="26" borderId="0" xfId="0" applyFont="1" applyFill="1" applyAlignment="1">
      <alignment vertical="center"/>
    </xf>
    <xf numFmtId="0" fontId="37" fillId="26" borderId="0" xfId="0" applyFont="1" applyFill="1"/>
    <xf numFmtId="0" fontId="123" fillId="26" borderId="0" xfId="0" applyFont="1" applyFill="1" applyProtection="1">
      <protection hidden="1"/>
    </xf>
    <xf numFmtId="0" fontId="22" fillId="26" borderId="31" xfId="0" applyFont="1" applyFill="1" applyBorder="1"/>
    <xf numFmtId="164" fontId="22" fillId="26" borderId="3" xfId="0" applyNumberFormat="1" applyFont="1" applyFill="1" applyBorder="1" applyAlignment="1">
      <alignment horizontal="center" vertical="center"/>
    </xf>
    <xf numFmtId="164" fontId="38" fillId="26" borderId="15" xfId="0" applyNumberFormat="1" applyFont="1" applyFill="1" applyBorder="1" applyAlignment="1">
      <alignment horizontal="center" vertical="center"/>
    </xf>
    <xf numFmtId="0" fontId="38" fillId="26" borderId="15" xfId="0" applyFont="1" applyFill="1" applyBorder="1" applyAlignment="1">
      <alignment horizontal="center" vertical="center" wrapText="1"/>
    </xf>
    <xf numFmtId="164" fontId="38" fillId="26" borderId="14" xfId="0" applyNumberFormat="1" applyFont="1" applyFill="1" applyBorder="1" applyAlignment="1">
      <alignment horizontal="center" vertical="center"/>
    </xf>
    <xf numFmtId="164" fontId="38" fillId="26" borderId="14" xfId="0" applyNumberFormat="1" applyFont="1" applyFill="1" applyBorder="1" applyAlignment="1">
      <alignment horizontal="center" vertical="center" wrapText="1"/>
    </xf>
    <xf numFmtId="164" fontId="76" fillId="26" borderId="14" xfId="0" applyNumberFormat="1" applyFont="1" applyFill="1" applyBorder="1" applyAlignment="1">
      <alignment horizontal="center" vertical="center" wrapText="1"/>
    </xf>
    <xf numFmtId="164" fontId="38" fillId="26" borderId="35" xfId="0" applyNumberFormat="1" applyFont="1" applyFill="1" applyBorder="1" applyAlignment="1">
      <alignment horizontal="center" vertical="center" wrapText="1"/>
    </xf>
    <xf numFmtId="0" fontId="3" fillId="26" borderId="51" xfId="0" applyFont="1" applyFill="1" applyBorder="1" applyAlignment="1">
      <alignment horizontal="center"/>
    </xf>
    <xf numFmtId="0" fontId="36" fillId="26" borderId="51" xfId="0" applyFont="1" applyFill="1" applyBorder="1" applyAlignment="1">
      <alignment horizontal="center"/>
    </xf>
    <xf numFmtId="164" fontId="38" fillId="26" borderId="2" xfId="0" applyNumberFormat="1" applyFont="1" applyFill="1" applyBorder="1" applyAlignment="1">
      <alignment horizontal="center" vertical="center"/>
    </xf>
    <xf numFmtId="164" fontId="38" fillId="26" borderId="35" xfId="0" applyNumberFormat="1" applyFont="1" applyFill="1" applyBorder="1" applyAlignment="1" applyProtection="1">
      <alignment horizontal="center" vertical="center" wrapText="1"/>
      <protection locked="0"/>
    </xf>
    <xf numFmtId="2" fontId="3" fillId="29" borderId="44" xfId="0" applyNumberFormat="1" applyFont="1" applyFill="1" applyBorder="1" applyAlignment="1" applyProtection="1">
      <alignment horizontal="center"/>
      <protection locked="0"/>
    </xf>
    <xf numFmtId="2" fontId="3" fillId="29" borderId="9" xfId="0" applyNumberFormat="1" applyFont="1" applyFill="1" applyBorder="1" applyAlignment="1" applyProtection="1">
      <alignment horizontal="center"/>
      <protection locked="0"/>
    </xf>
    <xf numFmtId="2" fontId="3" fillId="29" borderId="15" xfId="0" applyNumberFormat="1" applyFont="1" applyFill="1" applyBorder="1" applyAlignment="1" applyProtection="1">
      <alignment horizontal="center"/>
      <protection locked="0"/>
    </xf>
    <xf numFmtId="0" fontId="0" fillId="26" borderId="0" xfId="0" applyFill="1" applyAlignment="1">
      <alignment vertical="center"/>
    </xf>
    <xf numFmtId="0" fontId="18" fillId="26" borderId="0" xfId="0" applyFont="1" applyFill="1"/>
    <xf numFmtId="0" fontId="124" fillId="26" borderId="0" xfId="0" applyFont="1" applyFill="1"/>
    <xf numFmtId="0" fontId="125" fillId="26" borderId="0" xfId="0" applyFont="1" applyFill="1"/>
    <xf numFmtId="164" fontId="126" fillId="26" borderId="0" xfId="0" applyNumberFormat="1" applyFont="1" applyFill="1" applyAlignment="1">
      <alignment horizontal="center" vertical="center"/>
    </xf>
    <xf numFmtId="0" fontId="17" fillId="26" borderId="14" xfId="0" applyFont="1" applyFill="1" applyBorder="1" applyAlignment="1">
      <alignment horizontal="center" vertical="center" wrapText="1"/>
    </xf>
    <xf numFmtId="0" fontId="17" fillId="26" borderId="14" xfId="0" applyFont="1" applyFill="1" applyBorder="1" applyAlignment="1">
      <alignment horizontal="center" wrapText="1"/>
    </xf>
    <xf numFmtId="164" fontId="27" fillId="26" borderId="14" xfId="0" applyNumberFormat="1" applyFont="1" applyFill="1" applyBorder="1" applyAlignment="1" applyProtection="1">
      <alignment horizontal="center"/>
      <protection locked="0"/>
    </xf>
    <xf numFmtId="0" fontId="27" fillId="26" borderId="14" xfId="0" applyFont="1" applyFill="1" applyBorder="1" applyAlignment="1">
      <alignment horizontal="center"/>
    </xf>
    <xf numFmtId="164" fontId="27" fillId="26" borderId="14" xfId="0" applyNumberFormat="1" applyFont="1" applyFill="1" applyBorder="1" applyAlignment="1">
      <alignment horizontal="center"/>
    </xf>
    <xf numFmtId="0" fontId="11" fillId="26" borderId="0" xfId="0" applyFont="1" applyFill="1" applyAlignment="1">
      <alignment horizontal="center"/>
    </xf>
    <xf numFmtId="0" fontId="11" fillId="26" borderId="0" xfId="0" applyFont="1" applyFill="1"/>
    <xf numFmtId="164" fontId="11" fillId="26" borderId="0" xfId="0" applyNumberFormat="1" applyFont="1" applyFill="1" applyAlignment="1">
      <alignment horizontal="center"/>
    </xf>
    <xf numFmtId="1" fontId="12" fillId="26" borderId="0" xfId="0" applyNumberFormat="1" applyFont="1" applyFill="1" applyAlignment="1">
      <alignment horizontal="center"/>
    </xf>
    <xf numFmtId="0" fontId="17" fillId="26" borderId="0" xfId="0" applyFont="1" applyFill="1" applyAlignment="1">
      <alignment horizontal="right" wrapText="1"/>
    </xf>
    <xf numFmtId="0" fontId="17" fillId="26" borderId="0" xfId="0" applyFont="1" applyFill="1" applyAlignment="1">
      <alignment horizontal="center" wrapText="1"/>
    </xf>
    <xf numFmtId="168" fontId="37" fillId="26" borderId="0" xfId="0" applyNumberFormat="1" applyFont="1" applyFill="1" applyAlignment="1" applyProtection="1">
      <alignment horizontal="center" vertical="center"/>
      <protection locked="0"/>
    </xf>
    <xf numFmtId="0" fontId="60" fillId="26" borderId="0" xfId="0" applyFont="1" applyFill="1" applyAlignment="1">
      <alignment horizontal="center" vertical="center"/>
    </xf>
    <xf numFmtId="0" fontId="54" fillId="26" borderId="0" xfId="0" applyFont="1" applyFill="1" applyAlignment="1">
      <alignment vertical="top" wrapText="1"/>
    </xf>
    <xf numFmtId="0" fontId="92" fillId="26" borderId="0" xfId="0" applyFont="1" applyFill="1" applyAlignment="1">
      <alignment horizontal="left"/>
    </xf>
    <xf numFmtId="0" fontId="63" fillId="26" borderId="0" xfId="0" applyFont="1" applyFill="1" applyAlignment="1">
      <alignment horizontal="left" vertical="center"/>
    </xf>
    <xf numFmtId="164" fontId="7" fillId="26" borderId="0" xfId="0" applyNumberFormat="1" applyFont="1" applyFill="1" applyAlignment="1">
      <alignment horizontal="left"/>
    </xf>
    <xf numFmtId="0" fontId="5" fillId="26" borderId="0" xfId="0" applyFont="1" applyFill="1"/>
    <xf numFmtId="164" fontId="5" fillId="26" borderId="0" xfId="0" applyNumberFormat="1" applyFont="1" applyFill="1" applyAlignment="1">
      <alignment horizontal="center"/>
    </xf>
    <xf numFmtId="3" fontId="12" fillId="26" borderId="0" xfId="0" applyNumberFormat="1" applyFont="1" applyFill="1" applyAlignment="1">
      <alignment horizontal="center"/>
    </xf>
    <xf numFmtId="0" fontId="11" fillId="26" borderId="0" xfId="0" applyFont="1" applyFill="1" applyAlignment="1">
      <alignment horizontal="centerContinuous"/>
    </xf>
    <xf numFmtId="166" fontId="3" fillId="26" borderId="0" xfId="0" applyNumberFormat="1" applyFont="1" applyFill="1" applyAlignment="1" applyProtection="1">
      <alignment horizontal="center"/>
      <protection locked="0"/>
    </xf>
    <xf numFmtId="166" fontId="3" fillId="26" borderId="0" xfId="0" applyNumberFormat="1" applyFont="1" applyFill="1" applyAlignment="1">
      <alignment horizontal="center"/>
    </xf>
    <xf numFmtId="2" fontId="4" fillId="26" borderId="0" xfId="0" applyNumberFormat="1" applyFont="1" applyFill="1" applyAlignment="1">
      <alignment horizontal="center"/>
    </xf>
    <xf numFmtId="2" fontId="11" fillId="26" borderId="0" xfId="0" applyNumberFormat="1" applyFont="1" applyFill="1" applyAlignment="1">
      <alignment horizontal="center"/>
    </xf>
    <xf numFmtId="0" fontId="3" fillId="26" borderId="0" xfId="0" applyFont="1" applyFill="1"/>
    <xf numFmtId="0" fontId="3" fillId="27" borderId="0" xfId="0" applyFont="1" applyFill="1"/>
    <xf numFmtId="0" fontId="3" fillId="27" borderId="10" xfId="0" applyFont="1" applyFill="1" applyBorder="1" applyAlignment="1">
      <alignment horizontal="right"/>
    </xf>
    <xf numFmtId="0" fontId="0" fillId="27" borderId="0" xfId="0" applyFill="1"/>
    <xf numFmtId="0" fontId="52" fillId="27" borderId="17" xfId="0" applyFont="1" applyFill="1" applyBorder="1" applyAlignment="1">
      <alignment horizontal="right"/>
    </xf>
    <xf numFmtId="0" fontId="50" fillId="27" borderId="10" xfId="4" applyFill="1" applyBorder="1" applyAlignment="1" applyProtection="1">
      <alignment horizontal="right" vertical="center"/>
      <protection locked="0"/>
    </xf>
    <xf numFmtId="0" fontId="21" fillId="26" borderId="0" xfId="0" applyFont="1" applyFill="1"/>
    <xf numFmtId="0" fontId="0" fillId="26" borderId="0" xfId="0" applyFill="1" applyAlignment="1">
      <alignment horizontal="center"/>
    </xf>
    <xf numFmtId="0" fontId="17" fillId="26" borderId="5" xfId="0" applyFont="1" applyFill="1" applyBorder="1"/>
    <xf numFmtId="164" fontId="22" fillId="26" borderId="21" xfId="0" applyNumberFormat="1" applyFont="1" applyFill="1" applyBorder="1" applyAlignment="1">
      <alignment horizontal="right"/>
    </xf>
    <xf numFmtId="0" fontId="53" fillId="26" borderId="5" xfId="0" applyFont="1" applyFill="1" applyBorder="1"/>
    <xf numFmtId="49" fontId="53" fillId="26" borderId="24" xfId="0" applyNumberFormat="1" applyFont="1" applyFill="1" applyBorder="1" applyAlignment="1">
      <alignment horizontal="center"/>
    </xf>
    <xf numFmtId="164" fontId="22" fillId="26" borderId="15" xfId="0" applyNumberFormat="1" applyFont="1" applyFill="1" applyBorder="1" applyAlignment="1">
      <alignment horizontal="center"/>
    </xf>
    <xf numFmtId="165" fontId="17" fillId="26" borderId="102" xfId="0" applyNumberFormat="1" applyFont="1" applyFill="1" applyBorder="1" applyAlignment="1">
      <alignment horizontal="center" wrapText="1"/>
    </xf>
    <xf numFmtId="0" fontId="17" fillId="26" borderId="59" xfId="0" applyFont="1" applyFill="1" applyBorder="1" applyAlignment="1">
      <alignment horizontal="center" wrapText="1"/>
    </xf>
    <xf numFmtId="165" fontId="17" fillId="26" borderId="14" xfId="0" applyNumberFormat="1" applyFont="1" applyFill="1" applyBorder="1" applyAlignment="1">
      <alignment horizontal="center" wrapText="1"/>
    </xf>
    <xf numFmtId="164" fontId="22" fillId="26" borderId="37" xfId="0" applyNumberFormat="1" applyFont="1" applyFill="1" applyBorder="1" applyAlignment="1">
      <alignment horizontal="right"/>
    </xf>
    <xf numFmtId="49" fontId="53" fillId="26" borderId="20" xfId="0" applyNumberFormat="1" applyFont="1" applyFill="1" applyBorder="1" applyAlignment="1">
      <alignment horizontal="right"/>
    </xf>
    <xf numFmtId="49" fontId="53" fillId="26" borderId="20" xfId="0" applyNumberFormat="1" applyFont="1" applyFill="1" applyBorder="1" applyAlignment="1">
      <alignment horizontal="center"/>
    </xf>
    <xf numFmtId="0" fontId="34" fillId="26" borderId="0" xfId="0" applyFont="1" applyFill="1"/>
    <xf numFmtId="165" fontId="3" fillId="26" borderId="0" xfId="0" applyNumberFormat="1" applyFont="1" applyFill="1"/>
    <xf numFmtId="0" fontId="20" fillId="26" borderId="0" xfId="0" applyFont="1" applyFill="1"/>
    <xf numFmtId="0" fontId="36" fillId="26" borderId="0" xfId="0" applyFont="1" applyFill="1" applyAlignment="1">
      <alignment vertical="top"/>
    </xf>
    <xf numFmtId="165" fontId="0" fillId="26" borderId="0" xfId="0" applyNumberFormat="1" applyFill="1"/>
    <xf numFmtId="0" fontId="54" fillId="26" borderId="0" xfId="0" applyFont="1" applyFill="1"/>
    <xf numFmtId="0" fontId="3" fillId="26" borderId="31" xfId="0" applyFont="1" applyFill="1" applyBorder="1"/>
    <xf numFmtId="164" fontId="22" fillId="26" borderId="3" xfId="0" applyNumberFormat="1" applyFont="1" applyFill="1" applyBorder="1" applyAlignment="1">
      <alignment horizontal="center"/>
    </xf>
    <xf numFmtId="0" fontId="22" fillId="26" borderId="58" xfId="0" applyFont="1" applyFill="1" applyBorder="1" applyAlignment="1">
      <alignment horizontal="center"/>
    </xf>
    <xf numFmtId="0" fontId="3" fillId="26" borderId="59" xfId="0" applyFont="1" applyFill="1" applyBorder="1" applyAlignment="1">
      <alignment horizontal="center" wrapText="1"/>
    </xf>
    <xf numFmtId="0" fontId="17" fillId="26" borderId="59" xfId="0" applyFont="1" applyFill="1" applyBorder="1" applyAlignment="1">
      <alignment horizontal="center"/>
    </xf>
    <xf numFmtId="0" fontId="17" fillId="26" borderId="35" xfId="0" applyFont="1" applyFill="1" applyBorder="1" applyAlignment="1">
      <alignment horizontal="center"/>
    </xf>
    <xf numFmtId="0" fontId="36" fillId="26" borderId="59" xfId="0" applyFont="1" applyFill="1" applyBorder="1" applyAlignment="1">
      <alignment horizontal="center" wrapText="1"/>
    </xf>
    <xf numFmtId="0" fontId="17" fillId="26" borderId="68" xfId="0" applyFont="1" applyFill="1" applyBorder="1" applyAlignment="1">
      <alignment horizontal="center"/>
    </xf>
    <xf numFmtId="165" fontId="23" fillId="26" borderId="5" xfId="0" applyNumberFormat="1" applyFont="1" applyFill="1" applyBorder="1" applyAlignment="1">
      <alignment horizontal="center"/>
    </xf>
    <xf numFmtId="164" fontId="53" fillId="17" borderId="1" xfId="0" applyNumberFormat="1" applyFont="1" applyFill="1" applyBorder="1" applyAlignment="1">
      <alignment vertical="center" wrapText="1"/>
    </xf>
    <xf numFmtId="0" fontId="0" fillId="17" borderId="1" xfId="0" applyFill="1" applyBorder="1" applyAlignment="1">
      <alignment vertical="center"/>
    </xf>
    <xf numFmtId="0" fontId="0" fillId="17" borderId="0" xfId="0" applyFill="1" applyAlignment="1">
      <alignment vertical="center"/>
    </xf>
    <xf numFmtId="165" fontId="37" fillId="13" borderId="6" xfId="0" applyNumberFormat="1" applyFont="1" applyFill="1" applyBorder="1" applyAlignment="1">
      <alignment horizontal="center"/>
    </xf>
    <xf numFmtId="165" fontId="37" fillId="13" borderId="9" xfId="0" applyNumberFormat="1" applyFont="1" applyFill="1" applyBorder="1" applyAlignment="1">
      <alignment horizontal="center"/>
    </xf>
    <xf numFmtId="165" fontId="3" fillId="0" borderId="14" xfId="0" applyNumberFormat="1" applyFont="1" applyBorder="1" applyAlignment="1" applyProtection="1">
      <alignment horizontal="center"/>
      <protection locked="0"/>
    </xf>
    <xf numFmtId="164" fontId="11" fillId="26" borderId="0" xfId="0" quotePrefix="1" applyNumberFormat="1" applyFont="1" applyFill="1" applyAlignment="1">
      <alignment horizontal="centerContinuous"/>
    </xf>
    <xf numFmtId="164" fontId="5" fillId="26" borderId="0" xfId="0" applyNumberFormat="1" applyFont="1" applyFill="1" applyAlignment="1">
      <alignment horizontal="left"/>
    </xf>
    <xf numFmtId="0" fontId="5" fillId="26" borderId="0" xfId="0" applyFont="1" applyFill="1" applyAlignment="1">
      <alignment horizontal="centerContinuous"/>
    </xf>
    <xf numFmtId="0" fontId="3" fillId="26" borderId="0" xfId="0" applyFont="1" applyFill="1" applyAlignment="1">
      <alignment vertical="center"/>
    </xf>
    <xf numFmtId="0" fontId="3" fillId="26" borderId="0" xfId="0" applyFont="1" applyFill="1" applyAlignment="1">
      <alignment horizontal="center" vertical="center"/>
    </xf>
    <xf numFmtId="0" fontId="49" fillId="26" borderId="0" xfId="0" applyFont="1" applyFill="1" applyAlignment="1">
      <alignment vertical="center"/>
    </xf>
    <xf numFmtId="0" fontId="21" fillId="26" borderId="0" xfId="0" applyFont="1" applyFill="1" applyAlignment="1">
      <alignment vertical="center" wrapText="1"/>
    </xf>
    <xf numFmtId="0" fontId="84" fillId="0" borderId="0" xfId="0" quotePrefix="1" applyFont="1" applyAlignment="1">
      <alignment vertical="center" wrapText="1"/>
    </xf>
    <xf numFmtId="0" fontId="84" fillId="0" borderId="0" xfId="0" applyFont="1" applyAlignment="1">
      <alignment vertical="center" wrapText="1"/>
    </xf>
    <xf numFmtId="0" fontId="84" fillId="26" borderId="0" xfId="0" applyFont="1" applyFill="1" applyAlignment="1">
      <alignment vertical="top"/>
    </xf>
    <xf numFmtId="0" fontId="15" fillId="26" borderId="0" xfId="0" applyFont="1" applyFill="1" applyAlignment="1">
      <alignment horizontal="center"/>
    </xf>
    <xf numFmtId="0" fontId="84" fillId="26" borderId="0" xfId="0" applyFont="1" applyFill="1" applyAlignment="1">
      <alignment vertical="center" wrapText="1"/>
    </xf>
    <xf numFmtId="164" fontId="11" fillId="26" borderId="0" xfId="0" applyNumberFormat="1" applyFont="1" applyFill="1" applyAlignment="1">
      <alignment horizontal="center" vertical="center"/>
    </xf>
    <xf numFmtId="0" fontId="0" fillId="26" borderId="0" xfId="0" applyFill="1" applyAlignment="1">
      <alignment horizontal="center" vertical="center"/>
    </xf>
    <xf numFmtId="0" fontId="61" fillId="26" borderId="0" xfId="0" applyFont="1" applyFill="1" applyAlignment="1">
      <alignment horizontal="center"/>
    </xf>
    <xf numFmtId="165" fontId="23" fillId="26" borderId="15" xfId="0" applyNumberFormat="1" applyFont="1" applyFill="1" applyBorder="1" applyAlignment="1">
      <alignment horizontal="center"/>
    </xf>
    <xf numFmtId="0" fontId="3" fillId="26" borderId="59" xfId="0" applyFont="1" applyFill="1" applyBorder="1" applyAlignment="1">
      <alignment wrapText="1"/>
    </xf>
    <xf numFmtId="0" fontId="3" fillId="26" borderId="14" xfId="0" applyFont="1" applyFill="1" applyBorder="1" applyAlignment="1">
      <alignment vertical="center" wrapText="1"/>
    </xf>
    <xf numFmtId="0" fontId="27" fillId="26" borderId="10" xfId="0" applyFont="1" applyFill="1" applyBorder="1" applyAlignment="1">
      <alignment horizontal="center" vertical="center" wrapText="1"/>
    </xf>
    <xf numFmtId="0" fontId="17" fillId="26" borderId="1" xfId="0" applyFont="1" applyFill="1" applyBorder="1" applyAlignment="1">
      <alignment horizontal="center" vertical="center" wrapText="1"/>
    </xf>
    <xf numFmtId="0" fontId="27" fillId="26" borderId="51" xfId="0" applyFont="1" applyFill="1" applyBorder="1" applyAlignment="1">
      <alignment horizontal="center" vertical="center"/>
    </xf>
    <xf numFmtId="0" fontId="17" fillId="26" borderId="41" xfId="0" applyFont="1" applyFill="1" applyBorder="1" applyAlignment="1">
      <alignment horizontal="center" vertical="center" wrapText="1"/>
    </xf>
    <xf numFmtId="2" fontId="21" fillId="26" borderId="3" xfId="0" applyNumberFormat="1" applyFont="1" applyFill="1" applyBorder="1" applyAlignment="1">
      <alignment horizontal="center"/>
    </xf>
    <xf numFmtId="2" fontId="27" fillId="26" borderId="15" xfId="0" applyNumberFormat="1" applyFont="1" applyFill="1" applyBorder="1" applyAlignment="1">
      <alignment horizontal="center" vertical="center" wrapText="1"/>
    </xf>
    <xf numFmtId="2" fontId="27" fillId="26" borderId="30" xfId="0" applyNumberFormat="1" applyFont="1" applyFill="1" applyBorder="1" applyAlignment="1">
      <alignment horizontal="center" vertical="center" wrapText="1"/>
    </xf>
    <xf numFmtId="2" fontId="21" fillId="26" borderId="19" xfId="0" applyNumberFormat="1" applyFont="1" applyFill="1" applyBorder="1" applyAlignment="1">
      <alignment horizontal="center" vertical="center"/>
    </xf>
    <xf numFmtId="2" fontId="17" fillId="26" borderId="39" xfId="0" applyNumberFormat="1" applyFont="1" applyFill="1" applyBorder="1" applyAlignment="1">
      <alignment horizontal="center" vertical="center" wrapText="1"/>
    </xf>
    <xf numFmtId="2" fontId="17" fillId="26" borderId="67" xfId="0" applyNumberFormat="1" applyFont="1" applyFill="1" applyBorder="1" applyAlignment="1">
      <alignment horizontal="center" vertical="center" wrapText="1"/>
    </xf>
    <xf numFmtId="0" fontId="22" fillId="26" borderId="0" xfId="0" applyFont="1" applyFill="1" applyAlignment="1">
      <alignment horizontal="center" wrapText="1"/>
    </xf>
    <xf numFmtId="2" fontId="23" fillId="26" borderId="0" xfId="0" applyNumberFormat="1" applyFont="1" applyFill="1" applyAlignment="1">
      <alignment horizontal="center"/>
    </xf>
    <xf numFmtId="169" fontId="23" fillId="26" borderId="0" xfId="0" applyNumberFormat="1" applyFont="1" applyFill="1"/>
    <xf numFmtId="0" fontId="17" fillId="26" borderId="0" xfId="0" applyFont="1" applyFill="1" applyAlignment="1">
      <alignment vertical="center" wrapText="1"/>
    </xf>
    <xf numFmtId="0" fontId="84" fillId="0" borderId="0" xfId="0" applyFont="1" applyAlignment="1">
      <alignment horizontal="left" vertical="top"/>
    </xf>
    <xf numFmtId="0" fontId="84" fillId="26" borderId="0" xfId="0" applyFont="1" applyFill="1" applyAlignment="1">
      <alignment horizontal="left" vertical="top"/>
    </xf>
    <xf numFmtId="0" fontId="15" fillId="26" borderId="0" xfId="0" applyFont="1" applyFill="1"/>
    <xf numFmtId="0" fontId="84" fillId="26" borderId="1" xfId="0" applyFont="1" applyFill="1" applyBorder="1" applyAlignment="1">
      <alignment horizontal="left" vertical="top"/>
    </xf>
    <xf numFmtId="0" fontId="124" fillId="0" borderId="0" xfId="0" applyFont="1" applyAlignment="1">
      <alignment horizontal="right"/>
    </xf>
    <xf numFmtId="0" fontId="124" fillId="0" borderId="0" xfId="0" applyFont="1" applyAlignment="1">
      <alignment horizontal="left"/>
    </xf>
    <xf numFmtId="2" fontId="3" fillId="24" borderId="9" xfId="0" applyNumberFormat="1" applyFont="1" applyFill="1" applyBorder="1" applyAlignment="1">
      <alignment horizontal="right" vertical="center"/>
    </xf>
    <xf numFmtId="164" fontId="17" fillId="26" borderId="58" xfId="0" applyNumberFormat="1" applyFont="1" applyFill="1" applyBorder="1" applyAlignment="1">
      <alignment horizontal="center" vertical="center"/>
    </xf>
    <xf numFmtId="164" fontId="17" fillId="26" borderId="58" xfId="0" applyNumberFormat="1" applyFont="1" applyFill="1" applyBorder="1" applyAlignment="1">
      <alignment horizontal="center" vertical="center" wrapText="1"/>
    </xf>
    <xf numFmtId="0" fontId="38" fillId="26" borderId="14" xfId="0" applyFont="1" applyFill="1" applyBorder="1" applyAlignment="1">
      <alignment horizontal="center" vertical="center"/>
    </xf>
    <xf numFmtId="0" fontId="17" fillId="26" borderId="6" xfId="0" applyFont="1" applyFill="1" applyBorder="1" applyAlignment="1">
      <alignment horizontal="center" vertical="center" wrapText="1"/>
    </xf>
    <xf numFmtId="0" fontId="3" fillId="26" borderId="1" xfId="0" applyFont="1" applyFill="1" applyBorder="1" applyAlignment="1">
      <alignment vertical="top" wrapText="1"/>
    </xf>
    <xf numFmtId="164" fontId="127" fillId="13" borderId="2" xfId="0" applyNumberFormat="1" applyFont="1" applyFill="1" applyBorder="1" applyAlignment="1">
      <alignment horizontal="center"/>
    </xf>
    <xf numFmtId="164" fontId="17" fillId="13" borderId="45" xfId="0" applyNumberFormat="1" applyFont="1" applyFill="1" applyBorder="1" applyAlignment="1">
      <alignment horizontal="center"/>
    </xf>
    <xf numFmtId="0" fontId="94" fillId="0" borderId="0" xfId="0" applyFont="1" applyAlignment="1">
      <alignment horizontal="left" vertical="center"/>
    </xf>
    <xf numFmtId="0" fontId="94" fillId="26" borderId="0" xfId="0" applyFont="1" applyFill="1" applyAlignment="1">
      <alignment horizontal="left"/>
    </xf>
    <xf numFmtId="0" fontId="94" fillId="26" borderId="0" xfId="0" applyFont="1" applyFill="1" applyAlignment="1">
      <alignment horizontal="left" vertical="center"/>
    </xf>
    <xf numFmtId="0" fontId="61" fillId="26" borderId="0" xfId="0" applyFont="1" applyFill="1" applyAlignment="1">
      <alignment horizontal="left" vertical="center"/>
    </xf>
    <xf numFmtId="0" fontId="36" fillId="26" borderId="0" xfId="0" applyFont="1" applyFill="1" applyAlignment="1">
      <alignment horizontal="right" vertical="top"/>
    </xf>
    <xf numFmtId="0" fontId="124" fillId="26" borderId="0" xfId="0" applyFont="1" applyFill="1" applyAlignment="1">
      <alignment horizontal="left" vertical="center"/>
    </xf>
    <xf numFmtId="0" fontId="38" fillId="26" borderId="0" xfId="0" applyFont="1" applyFill="1" applyAlignment="1">
      <alignment horizontal="left"/>
    </xf>
    <xf numFmtId="0" fontId="17" fillId="26" borderId="0" xfId="0" applyFont="1" applyFill="1" applyAlignment="1">
      <alignment horizontal="left" vertical="center"/>
    </xf>
    <xf numFmtId="0" fontId="61" fillId="26" borderId="0" xfId="0" applyFont="1" applyFill="1" applyAlignment="1">
      <alignment horizontal="left"/>
    </xf>
    <xf numFmtId="0" fontId="95" fillId="26" borderId="0" xfId="0" applyFont="1" applyFill="1" applyAlignment="1">
      <alignment horizontal="left" vertical="center"/>
    </xf>
    <xf numFmtId="0" fontId="96" fillId="26" borderId="0" xfId="0" applyFont="1" applyFill="1" applyAlignment="1">
      <alignment horizontal="left" vertical="center"/>
    </xf>
    <xf numFmtId="0" fontId="102" fillId="26" borderId="0" xfId="0" applyFont="1" applyFill="1" applyAlignment="1">
      <alignment horizontal="left" vertical="center"/>
    </xf>
    <xf numFmtId="0" fontId="61" fillId="0" borderId="0" xfId="0" applyFont="1" applyAlignment="1">
      <alignment horizontal="left"/>
    </xf>
    <xf numFmtId="0" fontId="0" fillId="0" borderId="0" xfId="0" applyAlignment="1">
      <alignment horizontal="left"/>
    </xf>
    <xf numFmtId="0" fontId="69" fillId="26" borderId="1" xfId="0" applyFont="1" applyFill="1" applyBorder="1" applyAlignment="1">
      <alignment horizontal="right"/>
    </xf>
    <xf numFmtId="0" fontId="62" fillId="26" borderId="1" xfId="0" applyFont="1" applyFill="1" applyBorder="1" applyAlignment="1">
      <alignment horizontal="right"/>
    </xf>
    <xf numFmtId="0" fontId="3" fillId="26" borderId="10" xfId="0" applyFont="1" applyFill="1" applyBorder="1"/>
    <xf numFmtId="0" fontId="65" fillId="26" borderId="38" xfId="0" applyFont="1" applyFill="1" applyBorder="1" applyAlignment="1">
      <alignment horizontal="center" vertical="center" wrapText="1"/>
    </xf>
    <xf numFmtId="0" fontId="65" fillId="26" borderId="25" xfId="0" applyFont="1" applyFill="1" applyBorder="1" applyAlignment="1">
      <alignment horizontal="center" vertical="center" wrapText="1"/>
    </xf>
    <xf numFmtId="0" fontId="66" fillId="26" borderId="19" xfId="0" applyFont="1" applyFill="1" applyBorder="1" applyAlignment="1">
      <alignment vertical="center" wrapText="1"/>
    </xf>
    <xf numFmtId="0" fontId="67" fillId="26" borderId="39" xfId="0" applyFont="1" applyFill="1" applyBorder="1" applyAlignment="1">
      <alignment vertical="center" wrapText="1"/>
    </xf>
    <xf numFmtId="0" fontId="68" fillId="26" borderId="39" xfId="0" applyFont="1" applyFill="1" applyBorder="1" applyAlignment="1">
      <alignment vertical="center" wrapText="1"/>
    </xf>
    <xf numFmtId="0" fontId="67" fillId="26" borderId="67" xfId="0" applyFont="1" applyFill="1" applyBorder="1" applyAlignment="1">
      <alignment vertical="center" wrapText="1"/>
    </xf>
    <xf numFmtId="0" fontId="3" fillId="26" borderId="1" xfId="0" applyFont="1" applyFill="1" applyBorder="1"/>
    <xf numFmtId="0" fontId="70" fillId="26" borderId="1" xfId="0" applyFont="1" applyFill="1" applyBorder="1" applyAlignment="1">
      <alignment vertical="center"/>
    </xf>
    <xf numFmtId="0" fontId="65" fillId="26" borderId="6" xfId="0" applyFont="1" applyFill="1" applyBorder="1" applyAlignment="1">
      <alignment vertical="center" wrapText="1"/>
    </xf>
    <xf numFmtId="0" fontId="62" fillId="26" borderId="24" xfId="0" applyFont="1" applyFill="1" applyBorder="1" applyAlignment="1">
      <alignment vertical="center"/>
    </xf>
    <xf numFmtId="0" fontId="3" fillId="26" borderId="20" xfId="0" applyFont="1" applyFill="1" applyBorder="1"/>
    <xf numFmtId="0" fontId="3" fillId="26" borderId="23" xfId="0" applyFont="1" applyFill="1" applyBorder="1"/>
    <xf numFmtId="0" fontId="17" fillId="26" borderId="31" xfId="0" applyFont="1" applyFill="1" applyBorder="1"/>
    <xf numFmtId="164" fontId="53" fillId="26" borderId="10" xfId="0" applyNumberFormat="1" applyFont="1" applyFill="1" applyBorder="1" applyAlignment="1">
      <alignment horizontal="center"/>
    </xf>
    <xf numFmtId="164" fontId="53" fillId="26" borderId="122" xfId="0" applyNumberFormat="1" applyFont="1" applyFill="1" applyBorder="1" applyAlignment="1">
      <alignment horizontal="center" wrapText="1"/>
    </xf>
    <xf numFmtId="164" fontId="53" fillId="26" borderId="123" xfId="0" applyNumberFormat="1" applyFont="1" applyFill="1" applyBorder="1" applyAlignment="1">
      <alignment horizontal="center"/>
    </xf>
    <xf numFmtId="164" fontId="53" fillId="26" borderId="50" xfId="0" applyNumberFormat="1" applyFont="1" applyFill="1" applyBorder="1" applyAlignment="1">
      <alignment horizontal="center"/>
    </xf>
    <xf numFmtId="164" fontId="27" fillId="26" borderId="6" xfId="0" applyNumberFormat="1" applyFont="1" applyFill="1" applyBorder="1" applyAlignment="1">
      <alignment horizontal="center"/>
    </xf>
    <xf numFmtId="164" fontId="36" fillId="26" borderId="14" xfId="0" applyNumberFormat="1" applyFont="1" applyFill="1" applyBorder="1" applyAlignment="1">
      <alignment horizontal="center"/>
    </xf>
    <xf numFmtId="164" fontId="36" fillId="26" borderId="35" xfId="0" applyNumberFormat="1" applyFont="1" applyFill="1" applyBorder="1" applyAlignment="1">
      <alignment horizontal="center"/>
    </xf>
    <xf numFmtId="164" fontId="36" fillId="26" borderId="59" xfId="0" applyNumberFormat="1" applyFont="1" applyFill="1" applyBorder="1" applyAlignment="1">
      <alignment horizontal="center"/>
    </xf>
    <xf numFmtId="164" fontId="38" fillId="21" borderId="3" xfId="0" applyNumberFormat="1" applyFont="1" applyFill="1" applyBorder="1" applyAlignment="1">
      <alignment horizontal="center" vertical="center"/>
    </xf>
    <xf numFmtId="167" fontId="37" fillId="21" borderId="15" xfId="0" applyNumberFormat="1" applyFont="1" applyFill="1" applyBorder="1" applyAlignment="1">
      <alignment horizontal="center" vertical="center"/>
    </xf>
    <xf numFmtId="167" fontId="37" fillId="21" borderId="18" xfId="0" applyNumberFormat="1" applyFont="1" applyFill="1" applyBorder="1" applyAlignment="1">
      <alignment horizontal="center" vertical="center"/>
    </xf>
    <xf numFmtId="167" fontId="37" fillId="21" borderId="19" xfId="0" applyNumberFormat="1" applyFont="1" applyFill="1" applyBorder="1" applyAlignment="1">
      <alignment horizontal="center" vertical="center"/>
    </xf>
    <xf numFmtId="167" fontId="37" fillId="21" borderId="17" xfId="0" applyNumberFormat="1" applyFont="1" applyFill="1" applyBorder="1" applyAlignment="1">
      <alignment horizontal="center" vertical="center"/>
    </xf>
    <xf numFmtId="164" fontId="38" fillId="26" borderId="0" xfId="0" applyNumberFormat="1" applyFont="1" applyFill="1" applyAlignment="1">
      <alignment horizontal="left" vertical="center"/>
    </xf>
    <xf numFmtId="167" fontId="37" fillId="26" borderId="0" xfId="0" applyNumberFormat="1" applyFont="1" applyFill="1" applyAlignment="1">
      <alignment horizontal="center" vertical="center"/>
    </xf>
    <xf numFmtId="167" fontId="3" fillId="26" borderId="0" xfId="0" applyNumberFormat="1" applyFont="1" applyFill="1" applyAlignment="1">
      <alignment horizontal="right" vertical="center"/>
    </xf>
    <xf numFmtId="167" fontId="3" fillId="17" borderId="64" xfId="0" applyNumberFormat="1" applyFont="1" applyFill="1" applyBorder="1" applyAlignment="1">
      <alignment horizontal="center" vertical="center"/>
    </xf>
    <xf numFmtId="167" fontId="3" fillId="17" borderId="11" xfId="0" applyNumberFormat="1" applyFont="1" applyFill="1" applyBorder="1" applyAlignment="1">
      <alignment horizontal="center" vertical="center"/>
    </xf>
    <xf numFmtId="167" fontId="3" fillId="17" borderId="9" xfId="0" applyNumberFormat="1" applyFont="1" applyFill="1" applyBorder="1" applyAlignment="1">
      <alignment horizontal="center" vertical="center"/>
    </xf>
    <xf numFmtId="0" fontId="17" fillId="26" borderId="0" xfId="0" applyFont="1" applyFill="1"/>
    <xf numFmtId="0" fontId="23" fillId="26" borderId="0" xfId="0" applyFont="1" applyFill="1"/>
    <xf numFmtId="167" fontId="3" fillId="26" borderId="46" xfId="0" applyNumberFormat="1" applyFont="1" applyFill="1" applyBorder="1" applyAlignment="1">
      <alignment horizontal="right" vertical="center"/>
    </xf>
    <xf numFmtId="167" fontId="3" fillId="26" borderId="10" xfId="0" applyNumberFormat="1" applyFont="1" applyFill="1" applyBorder="1" applyAlignment="1">
      <alignment horizontal="right" vertical="center"/>
    </xf>
    <xf numFmtId="0" fontId="17" fillId="26" borderId="0" xfId="0" applyFont="1" applyFill="1" applyAlignment="1">
      <alignment horizontal="right"/>
    </xf>
    <xf numFmtId="164" fontId="22" fillId="26" borderId="17" xfId="0" applyNumberFormat="1" applyFont="1" applyFill="1" applyBorder="1" applyAlignment="1">
      <alignment horizontal="center"/>
    </xf>
    <xf numFmtId="0" fontId="27" fillId="26" borderId="59" xfId="0" applyFont="1" applyFill="1" applyBorder="1" applyAlignment="1">
      <alignment horizontal="center" wrapText="1"/>
    </xf>
    <xf numFmtId="0" fontId="27" fillId="26" borderId="14" xfId="0" applyFont="1" applyFill="1" applyBorder="1" applyAlignment="1">
      <alignment horizontal="center" wrapText="1"/>
    </xf>
    <xf numFmtId="164" fontId="22" fillId="17" borderId="23" xfId="0" applyNumberFormat="1" applyFont="1" applyFill="1" applyBorder="1" applyAlignment="1">
      <alignment horizontal="center"/>
    </xf>
    <xf numFmtId="164" fontId="22" fillId="17" borderId="14" xfId="0" applyNumberFormat="1" applyFont="1" applyFill="1" applyBorder="1" applyAlignment="1">
      <alignment horizontal="center"/>
    </xf>
    <xf numFmtId="0" fontId="34" fillId="26" borderId="0" xfId="0" applyFont="1" applyFill="1" applyAlignment="1">
      <alignment horizontal="right"/>
    </xf>
    <xf numFmtId="0" fontId="38" fillId="26" borderId="0" xfId="0" applyFont="1" applyFill="1"/>
    <xf numFmtId="164" fontId="34" fillId="26" borderId="0" xfId="0" applyNumberFormat="1" applyFont="1" applyFill="1" applyAlignment="1">
      <alignment horizontal="right"/>
    </xf>
    <xf numFmtId="0" fontId="3" fillId="26" borderId="21" xfId="0" applyFont="1" applyFill="1" applyBorder="1" applyAlignment="1">
      <alignment horizontal="center"/>
    </xf>
    <xf numFmtId="0" fontId="3" fillId="26" borderId="22" xfId="0" applyFont="1" applyFill="1" applyBorder="1" applyAlignment="1">
      <alignment horizontal="center"/>
    </xf>
    <xf numFmtId="0" fontId="3" fillId="26" borderId="0" xfId="0" applyFont="1" applyFill="1" applyAlignment="1">
      <alignment horizontal="center"/>
    </xf>
    <xf numFmtId="0" fontId="3" fillId="26" borderId="11" xfId="0" applyFont="1" applyFill="1" applyBorder="1" applyAlignment="1">
      <alignment horizontal="center"/>
    </xf>
    <xf numFmtId="0" fontId="3" fillId="26" borderId="5" xfId="0" applyFont="1" applyFill="1" applyBorder="1" applyAlignment="1">
      <alignment horizontal="center"/>
    </xf>
    <xf numFmtId="0" fontId="32" fillId="26" borderId="5" xfId="0" applyFont="1" applyFill="1" applyBorder="1" applyAlignment="1">
      <alignment horizontal="center" vertical="center" wrapText="1"/>
    </xf>
    <xf numFmtId="0" fontId="3" fillId="26" borderId="1" xfId="0" applyFont="1" applyFill="1" applyBorder="1" applyAlignment="1">
      <alignment horizontal="center"/>
    </xf>
    <xf numFmtId="0" fontId="32" fillId="26" borderId="0" xfId="0" applyFont="1" applyFill="1"/>
    <xf numFmtId="0" fontId="32" fillId="26" borderId="10" xfId="0" applyFont="1" applyFill="1" applyBorder="1"/>
    <xf numFmtId="0" fontId="35" fillId="26" borderId="0" xfId="0" applyFont="1" applyFill="1"/>
    <xf numFmtId="0" fontId="125" fillId="26" borderId="0" xfId="0" applyFont="1" applyFill="1" applyAlignment="1">
      <alignment horizontal="center"/>
    </xf>
    <xf numFmtId="0" fontId="125" fillId="26" borderId="0" xfId="0" applyFont="1" applyFill="1" applyProtection="1">
      <protection hidden="1"/>
    </xf>
    <xf numFmtId="0" fontId="34" fillId="26" borderId="0" xfId="0" applyFont="1" applyFill="1" applyAlignment="1">
      <alignment wrapText="1"/>
    </xf>
    <xf numFmtId="0" fontId="3" fillId="26" borderId="0" xfId="0" applyFont="1" applyFill="1" applyAlignment="1">
      <alignment wrapText="1"/>
    </xf>
    <xf numFmtId="0" fontId="0" fillId="26" borderId="0" xfId="0" applyFill="1" applyAlignment="1">
      <alignment wrapText="1"/>
    </xf>
    <xf numFmtId="0" fontId="34" fillId="26" borderId="0" xfId="0" applyFont="1" applyFill="1" applyAlignment="1">
      <alignment horizontal="right" wrapText="1"/>
    </xf>
    <xf numFmtId="0" fontId="32" fillId="27" borderId="1" xfId="0" applyFont="1" applyFill="1" applyBorder="1"/>
    <xf numFmtId="3" fontId="36" fillId="27" borderId="16" xfId="0" applyNumberFormat="1" applyFont="1" applyFill="1" applyBorder="1" applyAlignment="1">
      <alignment horizontal="right"/>
    </xf>
    <xf numFmtId="0" fontId="32" fillId="27" borderId="0" xfId="0" applyFont="1" applyFill="1"/>
    <xf numFmtId="0" fontId="3" fillId="27" borderId="0" xfId="0" applyFont="1" applyFill="1" applyAlignment="1">
      <alignment horizontal="left"/>
    </xf>
    <xf numFmtId="0" fontId="32" fillId="27" borderId="10" xfId="0" applyFont="1" applyFill="1" applyBorder="1"/>
    <xf numFmtId="3" fontId="36" fillId="27" borderId="16" xfId="0" applyNumberFormat="1" applyFont="1" applyFill="1" applyBorder="1"/>
    <xf numFmtId="0" fontId="3" fillId="27" borderId="24" xfId="0" applyFont="1" applyFill="1" applyBorder="1" applyAlignment="1">
      <alignment horizontal="center"/>
    </xf>
    <xf numFmtId="0" fontId="3" fillId="27" borderId="20" xfId="0" applyFont="1" applyFill="1" applyBorder="1" applyAlignment="1">
      <alignment horizontal="center"/>
    </xf>
    <xf numFmtId="0" fontId="3" fillId="27" borderId="23" xfId="0" applyFont="1" applyFill="1" applyBorder="1" applyAlignment="1">
      <alignment horizontal="center"/>
    </xf>
    <xf numFmtId="0" fontId="32" fillId="26" borderId="24" xfId="0" applyFont="1" applyFill="1" applyBorder="1" applyAlignment="1">
      <alignment horizontal="center" vertical="center" wrapText="1"/>
    </xf>
    <xf numFmtId="0" fontId="3" fillId="26" borderId="20" xfId="0" applyFont="1" applyFill="1" applyBorder="1" applyAlignment="1">
      <alignment horizontal="center" vertical="center" wrapText="1"/>
    </xf>
    <xf numFmtId="0" fontId="32" fillId="26" borderId="20" xfId="0" applyFont="1" applyFill="1" applyBorder="1" applyAlignment="1">
      <alignment horizontal="center" vertical="center" wrapText="1"/>
    </xf>
    <xf numFmtId="0" fontId="32" fillId="26" borderId="23" xfId="0" applyFont="1" applyFill="1" applyBorder="1" applyAlignment="1">
      <alignment horizontal="center" vertical="center" wrapText="1"/>
    </xf>
    <xf numFmtId="0" fontId="3" fillId="26" borderId="24" xfId="0" applyFont="1" applyFill="1" applyBorder="1" applyAlignment="1">
      <alignment vertical="center"/>
    </xf>
    <xf numFmtId="0" fontId="17" fillId="26" borderId="20" xfId="0" applyFont="1" applyFill="1" applyBorder="1" applyAlignment="1">
      <alignment vertical="center"/>
    </xf>
    <xf numFmtId="0" fontId="0" fillId="26" borderId="20" xfId="0" applyFill="1" applyBorder="1" applyAlignment="1">
      <alignment vertical="center"/>
    </xf>
    <xf numFmtId="0" fontId="0" fillId="26" borderId="23" xfId="0" applyFill="1" applyBorder="1" applyAlignment="1">
      <alignment vertical="center"/>
    </xf>
    <xf numFmtId="0" fontId="3" fillId="26" borderId="20" xfId="0" applyFont="1" applyFill="1" applyBorder="1" applyAlignment="1">
      <alignment vertical="center"/>
    </xf>
    <xf numFmtId="0" fontId="0" fillId="26" borderId="36" xfId="0" applyFill="1" applyBorder="1" applyAlignment="1">
      <alignment vertical="center"/>
    </xf>
    <xf numFmtId="0" fontId="17" fillId="26" borderId="5" xfId="0" applyFont="1" applyFill="1" applyBorder="1" applyAlignment="1">
      <alignment horizontal="center"/>
    </xf>
    <xf numFmtId="0" fontId="3" fillId="26" borderId="10" xfId="0" applyFont="1" applyFill="1" applyBorder="1" applyAlignment="1">
      <alignment horizontal="center"/>
    </xf>
    <xf numFmtId="0" fontId="3" fillId="26" borderId="0" xfId="0" applyFont="1" applyFill="1" applyAlignment="1">
      <alignment horizontal="left"/>
    </xf>
    <xf numFmtId="0" fontId="33" fillId="26" borderId="0" xfId="0" applyFont="1" applyFill="1" applyAlignment="1">
      <alignment horizontal="left"/>
    </xf>
    <xf numFmtId="0" fontId="32" fillId="3" borderId="0" xfId="0" applyFont="1" applyFill="1" applyAlignment="1">
      <alignment horizontal="center" wrapText="1"/>
    </xf>
    <xf numFmtId="0" fontId="54" fillId="3" borderId="0" xfId="0" applyFont="1" applyFill="1"/>
    <xf numFmtId="0" fontId="32" fillId="26" borderId="0" xfId="0" applyFont="1" applyFill="1" applyAlignment="1">
      <alignment horizontal="left"/>
    </xf>
    <xf numFmtId="0" fontId="3" fillId="26" borderId="0" xfId="0" applyFont="1" applyFill="1" applyAlignment="1">
      <alignment horizontal="left" vertical="center"/>
    </xf>
    <xf numFmtId="0" fontId="32" fillId="26" borderId="0" xfId="0" applyFont="1" applyFill="1" applyAlignment="1">
      <alignment horizontal="left" vertical="center"/>
    </xf>
    <xf numFmtId="0" fontId="32" fillId="3" borderId="0" xfId="0" applyFont="1" applyFill="1" applyAlignment="1">
      <alignment horizontal="left"/>
    </xf>
    <xf numFmtId="0" fontId="32" fillId="3" borderId="0" xfId="0" applyFont="1" applyFill="1" applyAlignment="1">
      <alignment horizontal="left" vertical="center"/>
    </xf>
    <xf numFmtId="0" fontId="61" fillId="3" borderId="0" xfId="0" applyFont="1" applyFill="1" applyAlignment="1">
      <alignment horizontal="left"/>
    </xf>
    <xf numFmtId="0" fontId="3" fillId="26" borderId="17" xfId="0" applyFont="1" applyFill="1" applyBorder="1" applyAlignment="1">
      <alignment horizontal="center" vertical="center" wrapText="1"/>
    </xf>
    <xf numFmtId="0" fontId="3" fillId="26" borderId="35" xfId="0" applyFont="1" applyFill="1" applyBorder="1" applyAlignment="1">
      <alignment horizontal="center" vertical="center" wrapText="1"/>
    </xf>
    <xf numFmtId="0" fontId="3" fillId="26" borderId="68" xfId="0" applyFont="1" applyFill="1" applyBorder="1" applyAlignment="1">
      <alignment horizontal="center" vertical="center" wrapText="1"/>
    </xf>
    <xf numFmtId="164" fontId="17" fillId="21" borderId="9" xfId="0" applyNumberFormat="1" applyFont="1" applyFill="1" applyBorder="1" applyAlignment="1">
      <alignment horizontal="center"/>
    </xf>
    <xf numFmtId="175" fontId="0" fillId="21" borderId="23" xfId="5" applyNumberFormat="1" applyFont="1" applyFill="1" applyBorder="1"/>
    <xf numFmtId="175" fontId="0" fillId="21" borderId="32" xfId="5" applyNumberFormat="1" applyFont="1" applyFill="1" applyBorder="1"/>
    <xf numFmtId="0" fontId="17" fillId="21" borderId="14" xfId="0" applyFont="1" applyFill="1" applyBorder="1" applyAlignment="1">
      <alignment horizontal="center"/>
    </xf>
    <xf numFmtId="0" fontId="17" fillId="26" borderId="6" xfId="0" applyFont="1" applyFill="1" applyBorder="1" applyAlignment="1">
      <alignment horizontal="center" vertical="center"/>
    </xf>
    <xf numFmtId="0" fontId="3" fillId="26" borderId="0" xfId="2" applyFill="1"/>
    <xf numFmtId="0" fontId="42" fillId="26" borderId="55" xfId="2" applyFont="1" applyFill="1" applyBorder="1" applyAlignment="1">
      <alignment horizontal="center"/>
    </xf>
    <xf numFmtId="0" fontId="42" fillId="26" borderId="62" xfId="2" applyFont="1" applyFill="1" applyBorder="1"/>
    <xf numFmtId="0" fontId="42" fillId="26" borderId="63" xfId="2" applyFont="1" applyFill="1" applyBorder="1" applyAlignment="1">
      <alignment horizontal="right"/>
    </xf>
    <xf numFmtId="0" fontId="3" fillId="26" borderId="0" xfId="2" applyFill="1" applyAlignment="1">
      <alignment horizontal="center"/>
    </xf>
    <xf numFmtId="0" fontId="17" fillId="26" borderId="0" xfId="2" applyFont="1" applyFill="1" applyAlignment="1">
      <alignment horizontal="center"/>
    </xf>
    <xf numFmtId="0" fontId="26" fillId="26" borderId="0" xfId="0" applyFont="1" applyFill="1"/>
    <xf numFmtId="0" fontId="21" fillId="26" borderId="0" xfId="0" applyFont="1" applyFill="1" applyAlignment="1">
      <alignment horizontal="center"/>
    </xf>
    <xf numFmtId="0" fontId="26" fillId="26" borderId="0" xfId="0" applyFont="1" applyFill="1" applyAlignment="1">
      <alignment horizontal="right"/>
    </xf>
    <xf numFmtId="0" fontId="0" fillId="0" borderId="0" xfId="0" quotePrefix="1" applyProtection="1">
      <protection locked="0"/>
    </xf>
    <xf numFmtId="164" fontId="22" fillId="5" borderId="21" xfId="0" applyNumberFormat="1" applyFont="1" applyFill="1" applyBorder="1" applyAlignment="1">
      <alignment horizontal="left" vertical="center"/>
    </xf>
    <xf numFmtId="164" fontId="22" fillId="5" borderId="34" xfId="0" applyNumberFormat="1" applyFont="1" applyFill="1" applyBorder="1" applyAlignment="1">
      <alignment vertical="center"/>
    </xf>
    <xf numFmtId="164" fontId="22" fillId="5" borderId="0" xfId="0" applyNumberFormat="1" applyFont="1" applyFill="1" applyAlignment="1">
      <alignment vertical="center"/>
    </xf>
    <xf numFmtId="164" fontId="135" fillId="30" borderId="21" xfId="4" applyNumberFormat="1" applyFont="1" applyFill="1" applyBorder="1" applyAlignment="1" applyProtection="1">
      <alignment horizontal="left" vertical="center" wrapText="1"/>
      <protection locked="0"/>
    </xf>
    <xf numFmtId="0" fontId="0" fillId="31" borderId="0" xfId="0" applyFill="1"/>
    <xf numFmtId="0" fontId="37" fillId="31" borderId="0" xfId="0" applyFont="1" applyFill="1"/>
    <xf numFmtId="0" fontId="132" fillId="31" borderId="20" xfId="0" applyFont="1" applyFill="1" applyBorder="1"/>
    <xf numFmtId="0" fontId="27" fillId="31" borderId="20" xfId="0" applyFont="1" applyFill="1" applyBorder="1"/>
    <xf numFmtId="0" fontId="37" fillId="31" borderId="0" xfId="0" applyFont="1" applyFill="1" applyProtection="1">
      <protection locked="0"/>
    </xf>
    <xf numFmtId="0" fontId="132" fillId="31" borderId="20" xfId="0" applyFont="1" applyFill="1" applyBorder="1" applyProtection="1">
      <protection locked="0"/>
    </xf>
    <xf numFmtId="164" fontId="129" fillId="30" borderId="21" xfId="4" applyNumberFormat="1" applyFont="1" applyFill="1" applyBorder="1" applyAlignment="1" applyProtection="1">
      <alignment horizontal="left" vertical="center" wrapText="1"/>
      <protection locked="0"/>
    </xf>
    <xf numFmtId="0" fontId="27" fillId="5" borderId="37" xfId="0" applyFont="1" applyFill="1" applyBorder="1" applyAlignment="1">
      <alignment vertical="center"/>
    </xf>
    <xf numFmtId="0" fontId="27" fillId="5" borderId="11" xfId="0" applyFont="1" applyFill="1" applyBorder="1" applyAlignment="1">
      <alignment vertical="center"/>
    </xf>
    <xf numFmtId="0" fontId="27" fillId="5" borderId="20" xfId="0" applyFont="1" applyFill="1" applyBorder="1" applyAlignment="1">
      <alignment vertical="center"/>
    </xf>
    <xf numFmtId="164" fontId="135" fillId="30" borderId="37" xfId="4" applyNumberFormat="1" applyFont="1" applyFill="1" applyBorder="1" applyAlignment="1" applyProtection="1">
      <alignment horizontal="left" vertical="center" wrapText="1"/>
      <protection locked="0"/>
    </xf>
    <xf numFmtId="164" fontId="135" fillId="9" borderId="37" xfId="4" applyNumberFormat="1" applyFont="1" applyFill="1" applyBorder="1" applyAlignment="1" applyProtection="1">
      <alignment horizontal="left" vertical="center" wrapText="1"/>
      <protection locked="0"/>
    </xf>
    <xf numFmtId="164" fontId="135" fillId="9" borderId="24" xfId="4" applyNumberFormat="1" applyFont="1" applyFill="1" applyBorder="1" applyAlignment="1" applyProtection="1">
      <alignment horizontal="left" vertical="center" wrapText="1"/>
      <protection locked="0"/>
    </xf>
    <xf numFmtId="0" fontId="27" fillId="30" borderId="20" xfId="0" applyFont="1" applyFill="1" applyBorder="1" applyAlignment="1">
      <alignment vertical="center"/>
    </xf>
    <xf numFmtId="0" fontId="27" fillId="5" borderId="24" xfId="0" applyFont="1" applyFill="1" applyBorder="1" applyAlignment="1">
      <alignment vertical="center"/>
    </xf>
    <xf numFmtId="0" fontId="17" fillId="8" borderId="6" xfId="0" applyFont="1" applyFill="1" applyBorder="1" applyAlignment="1">
      <alignment vertical="center"/>
    </xf>
    <xf numFmtId="0" fontId="17" fillId="8" borderId="6" xfId="0" applyFont="1" applyFill="1" applyBorder="1" applyAlignment="1">
      <alignment horizontal="left" vertical="center" indent="1"/>
    </xf>
    <xf numFmtId="0" fontId="37" fillId="11" borderId="0" xfId="0" applyFont="1" applyFill="1" applyAlignment="1">
      <alignment vertical="center"/>
    </xf>
    <xf numFmtId="0" fontId="133" fillId="17" borderId="0" xfId="4" quotePrefix="1" applyFont="1" applyFill="1" applyAlignment="1" applyProtection="1">
      <alignment vertical="center"/>
      <protection locked="0"/>
    </xf>
    <xf numFmtId="0" fontId="37" fillId="17" borderId="0" xfId="0" applyFont="1" applyFill="1" applyAlignment="1">
      <alignment vertical="center"/>
    </xf>
    <xf numFmtId="0" fontId="133" fillId="11" borderId="0" xfId="4" quotePrefix="1" applyFont="1" applyFill="1" applyAlignment="1" applyProtection="1">
      <alignment vertical="center"/>
      <protection locked="0"/>
    </xf>
    <xf numFmtId="0" fontId="133" fillId="29" borderId="0" xfId="4" quotePrefix="1" applyFont="1" applyFill="1" applyAlignment="1" applyProtection="1">
      <alignment vertical="center"/>
      <protection locked="0"/>
    </xf>
    <xf numFmtId="0" fontId="37" fillId="29" borderId="0" xfId="0" applyFont="1" applyFill="1" applyAlignment="1">
      <alignment vertical="center"/>
    </xf>
    <xf numFmtId="0" fontId="134" fillId="17" borderId="0" xfId="4" quotePrefix="1" applyFont="1" applyFill="1" applyAlignment="1" applyProtection="1">
      <alignment vertical="center"/>
      <protection locked="0"/>
    </xf>
    <xf numFmtId="0" fontId="27" fillId="17" borderId="0" xfId="0" applyFont="1" applyFill="1" applyAlignment="1">
      <alignment vertical="center"/>
    </xf>
    <xf numFmtId="0" fontId="134" fillId="11" borderId="0" xfId="4" quotePrefix="1" applyFont="1" applyFill="1" applyAlignment="1" applyProtection="1">
      <alignment vertical="center"/>
      <protection locked="0"/>
    </xf>
    <xf numFmtId="0" fontId="27" fillId="11" borderId="0" xfId="0" applyFont="1" applyFill="1" applyAlignment="1">
      <alignment vertical="center"/>
    </xf>
    <xf numFmtId="0" fontId="133" fillId="29" borderId="0" xfId="4" applyFont="1" applyFill="1" applyAlignment="1" applyProtection="1">
      <alignment vertical="center"/>
      <protection locked="0"/>
    </xf>
    <xf numFmtId="0" fontId="133" fillId="31" borderId="0" xfId="4" quotePrefix="1" applyFont="1" applyFill="1" applyAlignment="1" applyProtection="1">
      <alignment vertical="center"/>
      <protection locked="0"/>
    </xf>
    <xf numFmtId="0" fontId="37" fillId="31" borderId="0" xfId="0" applyFont="1" applyFill="1" applyAlignment="1">
      <alignment vertical="center"/>
    </xf>
    <xf numFmtId="0" fontId="131" fillId="31" borderId="0" xfId="0" applyFont="1" applyFill="1" applyAlignment="1">
      <alignment horizontal="right" vertical="center"/>
    </xf>
    <xf numFmtId="0" fontId="0" fillId="31" borderId="0" xfId="0" applyFill="1" applyAlignment="1">
      <alignment horizontal="left"/>
    </xf>
    <xf numFmtId="0" fontId="133" fillId="11" borderId="0" xfId="4" applyFont="1" applyFill="1" applyAlignment="1" applyProtection="1">
      <alignment vertical="center"/>
      <protection locked="0"/>
    </xf>
    <xf numFmtId="164" fontId="129" fillId="17" borderId="0" xfId="4" applyNumberFormat="1" applyFont="1" applyFill="1" applyBorder="1" applyAlignment="1" applyProtection="1">
      <alignment horizontal="center" wrapText="1"/>
      <protection locked="0"/>
    </xf>
    <xf numFmtId="0" fontId="21" fillId="0" borderId="16" xfId="0" applyFont="1" applyBorder="1" applyAlignment="1" applyProtection="1">
      <alignment horizontal="left" wrapText="1"/>
      <protection locked="0"/>
    </xf>
    <xf numFmtId="0" fontId="21" fillId="0" borderId="43" xfId="0" applyFont="1" applyBorder="1" applyAlignment="1" applyProtection="1">
      <alignment horizontal="left" wrapText="1"/>
      <protection locked="0"/>
    </xf>
    <xf numFmtId="164" fontId="27" fillId="28" borderId="9" xfId="0" applyNumberFormat="1" applyFont="1" applyFill="1" applyBorder="1" applyAlignment="1">
      <alignment horizontal="center"/>
    </xf>
    <xf numFmtId="164" fontId="27" fillId="28" borderId="14" xfId="0" applyNumberFormat="1" applyFont="1" applyFill="1" applyBorder="1" applyAlignment="1">
      <alignment horizontal="center"/>
    </xf>
    <xf numFmtId="176" fontId="3" fillId="27" borderId="9" xfId="8" applyNumberFormat="1" applyFont="1" applyFill="1" applyBorder="1" applyAlignment="1">
      <alignment horizontal="center"/>
    </xf>
    <xf numFmtId="176" fontId="3" fillId="26" borderId="9" xfId="8" applyNumberFormat="1" applyFont="1" applyFill="1" applyBorder="1" applyAlignment="1">
      <alignment horizontal="center"/>
    </xf>
    <xf numFmtId="175" fontId="3" fillId="27" borderId="9" xfId="8" applyNumberFormat="1" applyFont="1" applyFill="1" applyBorder="1"/>
    <xf numFmtId="175" fontId="3" fillId="0" borderId="9" xfId="8" applyNumberFormat="1" applyFont="1" applyBorder="1" applyProtection="1">
      <protection locked="0"/>
    </xf>
    <xf numFmtId="175" fontId="3" fillId="26" borderId="9" xfId="8" applyNumberFormat="1" applyFont="1" applyFill="1" applyBorder="1"/>
    <xf numFmtId="175" fontId="0" fillId="26" borderId="23" xfId="8" applyNumberFormat="1" applyFont="1" applyFill="1" applyBorder="1"/>
    <xf numFmtId="175" fontId="3" fillId="0" borderId="6" xfId="8" applyNumberFormat="1" applyFont="1" applyBorder="1" applyProtection="1">
      <protection locked="0"/>
    </xf>
    <xf numFmtId="175" fontId="3" fillId="26" borderId="6" xfId="8" applyNumberFormat="1" applyFont="1" applyFill="1" applyBorder="1"/>
    <xf numFmtId="175" fontId="0" fillId="26" borderId="11" xfId="8" applyNumberFormat="1" applyFont="1" applyFill="1" applyBorder="1"/>
    <xf numFmtId="176" fontId="3" fillId="27" borderId="14" xfId="8" applyNumberFormat="1" applyFont="1" applyFill="1" applyBorder="1" applyAlignment="1">
      <alignment horizontal="center"/>
    </xf>
    <xf numFmtId="176" fontId="3" fillId="26" borderId="14" xfId="8" applyNumberFormat="1" applyFont="1" applyFill="1" applyBorder="1" applyAlignment="1">
      <alignment horizontal="center"/>
    </xf>
    <xf numFmtId="175" fontId="3" fillId="27" borderId="14" xfId="8" applyNumberFormat="1" applyFont="1" applyFill="1" applyBorder="1"/>
    <xf numFmtId="175" fontId="3" fillId="0" borderId="14" xfId="8" applyNumberFormat="1" applyFont="1" applyBorder="1" applyProtection="1">
      <protection locked="0"/>
    </xf>
    <xf numFmtId="175" fontId="0" fillId="26" borderId="59" xfId="8" applyNumberFormat="1" applyFont="1" applyFill="1" applyBorder="1"/>
    <xf numFmtId="176" fontId="38" fillId="26" borderId="9" xfId="8" applyNumberFormat="1" applyFont="1" applyFill="1" applyBorder="1"/>
    <xf numFmtId="176" fontId="38" fillId="25" borderId="20" xfId="8" applyNumberFormat="1" applyFont="1" applyFill="1" applyBorder="1"/>
    <xf numFmtId="176" fontId="38" fillId="26" borderId="5" xfId="8" applyNumberFormat="1" applyFont="1" applyFill="1" applyBorder="1"/>
    <xf numFmtId="0" fontId="136" fillId="3" borderId="0" xfId="0" applyFont="1" applyFill="1" applyAlignment="1">
      <alignment horizontal="left" indent="1"/>
    </xf>
    <xf numFmtId="0" fontId="131" fillId="31" borderId="20" xfId="0" applyFont="1" applyFill="1" applyBorder="1" applyAlignment="1">
      <alignment horizontal="right"/>
    </xf>
    <xf numFmtId="0" fontId="130" fillId="31" borderId="22" xfId="0" applyFont="1" applyFill="1" applyBorder="1" applyAlignment="1">
      <alignment horizontal="right"/>
    </xf>
    <xf numFmtId="164" fontId="22" fillId="0" borderId="0" xfId="0" applyNumberFormat="1" applyFont="1" applyAlignment="1">
      <alignment horizontal="right" vertical="top" wrapText="1"/>
    </xf>
    <xf numFmtId="0" fontId="48" fillId="0" borderId="0" xfId="0" applyFont="1" applyAlignment="1">
      <alignment horizontal="center" wrapText="1"/>
    </xf>
    <xf numFmtId="0" fontId="3" fillId="0" borderId="22" xfId="0" applyFont="1" applyBorder="1" applyAlignment="1">
      <alignment horizontal="left" wrapText="1"/>
    </xf>
    <xf numFmtId="164" fontId="22" fillId="0" borderId="0" xfId="0" applyNumberFormat="1" applyFont="1" applyAlignment="1">
      <alignment horizontal="left" wrapText="1"/>
    </xf>
    <xf numFmtId="0" fontId="58" fillId="0" borderId="0" xfId="0" applyFont="1" applyAlignment="1">
      <alignment horizontal="center" wrapText="1"/>
    </xf>
    <xf numFmtId="0" fontId="23" fillId="0" borderId="0" xfId="0" applyFont="1" applyAlignment="1" applyProtection="1">
      <alignment horizontal="center"/>
      <protection locked="0"/>
    </xf>
    <xf numFmtId="0" fontId="22" fillId="0" borderId="0" xfId="0" applyFont="1" applyAlignment="1">
      <alignment horizontal="center"/>
    </xf>
    <xf numFmtId="164" fontId="37" fillId="0" borderId="0" xfId="0" applyNumberFormat="1" applyFont="1" applyAlignment="1">
      <alignment horizontal="left" wrapText="1"/>
    </xf>
    <xf numFmtId="0" fontId="29" fillId="0" borderId="0" xfId="0" applyFont="1" applyAlignment="1">
      <alignment horizontal="center" vertical="center"/>
    </xf>
    <xf numFmtId="0" fontId="31" fillId="0" borderId="0" xfId="3" applyFont="1" applyAlignment="1">
      <alignment horizontal="left"/>
    </xf>
    <xf numFmtId="0" fontId="21" fillId="0" borderId="43" xfId="0" applyFont="1" applyBorder="1" applyAlignment="1" applyProtection="1">
      <alignment horizontal="left"/>
      <protection locked="0"/>
    </xf>
    <xf numFmtId="0" fontId="21" fillId="0" borderId="16" xfId="0" applyFont="1" applyBorder="1" applyAlignment="1" applyProtection="1">
      <alignment horizontal="left"/>
      <protection locked="0"/>
    </xf>
    <xf numFmtId="0" fontId="15" fillId="0" borderId="41" xfId="0" applyFont="1" applyBorder="1" applyAlignment="1">
      <alignment horizontal="center" vertical="top" wrapText="1"/>
    </xf>
    <xf numFmtId="0" fontId="51" fillId="0" borderId="0" xfId="0" applyFont="1" applyAlignment="1">
      <alignment horizontal="center"/>
    </xf>
    <xf numFmtId="0" fontId="37" fillId="0" borderId="34" xfId="0" applyFont="1" applyBorder="1" applyAlignment="1">
      <alignment horizontal="left" vertical="center" wrapText="1"/>
    </xf>
    <xf numFmtId="0" fontId="37" fillId="0" borderId="0" xfId="0" applyFont="1" applyAlignment="1">
      <alignment horizontal="left" vertical="center" wrapText="1"/>
    </xf>
    <xf numFmtId="0" fontId="21" fillId="0" borderId="0" xfId="0" applyFont="1" applyAlignment="1">
      <alignment horizontal="left" wrapText="1"/>
    </xf>
    <xf numFmtId="0" fontId="21" fillId="0" borderId="20" xfId="0" applyFont="1" applyBorder="1" applyAlignment="1" applyProtection="1">
      <alignment horizontal="center"/>
      <protection locked="0"/>
    </xf>
    <xf numFmtId="0" fontId="105" fillId="0" borderId="0" xfId="0" applyFont="1" applyAlignment="1">
      <alignment horizontal="left" vertical="center" wrapText="1"/>
    </xf>
    <xf numFmtId="2" fontId="86" fillId="0" borderId="37" xfId="0" applyNumberFormat="1" applyFont="1" applyBorder="1" applyAlignment="1" applyProtection="1">
      <alignment horizontal="left" vertical="center" wrapText="1"/>
      <protection locked="0"/>
    </xf>
    <xf numFmtId="2" fontId="86" fillId="0" borderId="85" xfId="0" applyNumberFormat="1" applyFont="1" applyBorder="1" applyAlignment="1" applyProtection="1">
      <alignment horizontal="left" vertical="center" wrapText="1"/>
      <protection locked="0"/>
    </xf>
    <xf numFmtId="164" fontId="27" fillId="26" borderId="22" xfId="0" applyNumberFormat="1" applyFont="1" applyFill="1" applyBorder="1" applyAlignment="1" applyProtection="1">
      <alignment horizontal="center" vertical="center"/>
      <protection locked="0"/>
    </xf>
    <xf numFmtId="164" fontId="27" fillId="26" borderId="27" xfId="0" applyNumberFormat="1" applyFont="1" applyFill="1" applyBorder="1" applyAlignment="1" applyProtection="1">
      <alignment horizontal="center" vertical="center"/>
      <protection locked="0"/>
    </xf>
    <xf numFmtId="0" fontId="88" fillId="0" borderId="11" xfId="0" applyFont="1" applyBorder="1" applyAlignment="1" applyProtection="1">
      <alignment horizontal="left" wrapText="1"/>
      <protection locked="0"/>
    </xf>
    <xf numFmtId="0" fontId="88" fillId="0" borderId="89" xfId="0" applyFont="1" applyBorder="1" applyAlignment="1" applyProtection="1">
      <alignment horizontal="left" wrapText="1"/>
      <protection locked="0"/>
    </xf>
    <xf numFmtId="0" fontId="86" fillId="0" borderId="37" xfId="0" applyFont="1" applyBorder="1" applyAlignment="1" applyProtection="1">
      <alignment horizontal="left" vertical="center" wrapText="1"/>
      <protection locked="0"/>
    </xf>
    <xf numFmtId="0" fontId="86" fillId="0" borderId="85" xfId="0" applyFont="1" applyBorder="1" applyAlignment="1" applyProtection="1">
      <alignment horizontal="left" vertical="center" wrapText="1"/>
      <protection locked="0"/>
    </xf>
    <xf numFmtId="0" fontId="86" fillId="0" borderId="11" xfId="0" applyFont="1" applyBorder="1" applyAlignment="1" applyProtection="1">
      <alignment horizontal="left" vertical="center" wrapText="1"/>
      <protection locked="0"/>
    </xf>
    <xf numFmtId="0" fontId="86" fillId="0" borderId="89" xfId="0" applyFont="1" applyBorder="1" applyAlignment="1" applyProtection="1">
      <alignment horizontal="left" vertical="center" wrapText="1"/>
      <protection locked="0"/>
    </xf>
    <xf numFmtId="0" fontId="88" fillId="8" borderId="11" xfId="0" applyFont="1" applyFill="1" applyBorder="1" applyAlignment="1" applyProtection="1">
      <alignment horizontal="left" wrapText="1"/>
      <protection locked="0"/>
    </xf>
    <xf numFmtId="0" fontId="88" fillId="8" borderId="89" xfId="0" applyFont="1" applyFill="1" applyBorder="1" applyAlignment="1" applyProtection="1">
      <alignment horizontal="left" wrapText="1"/>
      <protection locked="0"/>
    </xf>
    <xf numFmtId="0" fontId="86" fillId="8" borderId="11" xfId="0" applyFont="1" applyFill="1" applyBorder="1" applyAlignment="1" applyProtection="1">
      <alignment horizontal="left" vertical="center" wrapText="1"/>
      <protection locked="0"/>
    </xf>
    <xf numFmtId="0" fontId="86" fillId="8" borderId="89" xfId="0" applyFont="1" applyFill="1" applyBorder="1" applyAlignment="1" applyProtection="1">
      <alignment horizontal="left" vertical="center" wrapText="1"/>
      <protection locked="0"/>
    </xf>
    <xf numFmtId="2" fontId="86" fillId="8" borderId="37" xfId="0" applyNumberFormat="1" applyFont="1" applyFill="1" applyBorder="1" applyAlignment="1" applyProtection="1">
      <alignment horizontal="left" vertical="center" wrapText="1"/>
      <protection locked="0"/>
    </xf>
    <xf numFmtId="2" fontId="86" fillId="8" borderId="85" xfId="0" applyNumberFormat="1" applyFont="1" applyFill="1" applyBorder="1" applyAlignment="1" applyProtection="1">
      <alignment horizontal="left" vertical="center" wrapText="1"/>
      <protection locked="0"/>
    </xf>
    <xf numFmtId="164" fontId="27" fillId="26" borderId="90" xfId="0" applyNumberFormat="1" applyFont="1" applyFill="1" applyBorder="1" applyAlignment="1" applyProtection="1">
      <alignment horizontal="center" vertical="center"/>
      <protection locked="0"/>
    </xf>
    <xf numFmtId="164" fontId="27" fillId="26" borderId="37" xfId="0" applyNumberFormat="1" applyFont="1" applyFill="1" applyBorder="1" applyAlignment="1">
      <alignment horizontal="center" vertical="center" wrapText="1"/>
    </xf>
    <xf numFmtId="164" fontId="27" fillId="26" borderId="85" xfId="0" applyNumberFormat="1" applyFont="1" applyFill="1" applyBorder="1" applyAlignment="1">
      <alignment horizontal="center" vertical="center" wrapText="1"/>
    </xf>
    <xf numFmtId="164" fontId="27" fillId="26" borderId="37" xfId="0" applyNumberFormat="1" applyFont="1" applyFill="1" applyBorder="1" applyAlignment="1">
      <alignment horizontal="center" vertical="center"/>
    </xf>
    <xf numFmtId="164" fontId="27" fillId="26" borderId="85" xfId="0" applyNumberFormat="1" applyFont="1" applyFill="1" applyBorder="1" applyAlignment="1">
      <alignment horizontal="center" vertical="center"/>
    </xf>
    <xf numFmtId="164" fontId="27" fillId="26" borderId="90" xfId="0" applyNumberFormat="1" applyFont="1" applyFill="1" applyBorder="1" applyAlignment="1">
      <alignment horizontal="center" vertical="center" wrapText="1"/>
    </xf>
    <xf numFmtId="164" fontId="27" fillId="26" borderId="119" xfId="0" applyNumberFormat="1" applyFont="1" applyFill="1" applyBorder="1" applyAlignment="1">
      <alignment horizontal="center" vertical="center" wrapText="1"/>
    </xf>
    <xf numFmtId="0" fontId="86" fillId="8" borderId="37" xfId="0" applyFont="1" applyFill="1" applyBorder="1" applyAlignment="1" applyProtection="1">
      <alignment horizontal="left" vertical="center" wrapText="1"/>
      <protection locked="0"/>
    </xf>
    <xf numFmtId="0" fontId="86" fillId="8" borderId="85" xfId="0" applyFont="1" applyFill="1" applyBorder="1" applyAlignment="1" applyProtection="1">
      <alignment horizontal="left" vertical="center" wrapText="1"/>
      <protection locked="0"/>
    </xf>
    <xf numFmtId="2" fontId="86" fillId="8" borderId="11" xfId="0" applyNumberFormat="1" applyFont="1" applyFill="1" applyBorder="1" applyAlignment="1" applyProtection="1">
      <alignment horizontal="left" vertical="center" wrapText="1"/>
      <protection locked="0"/>
    </xf>
    <xf numFmtId="2" fontId="86" fillId="8" borderId="89" xfId="0" applyNumberFormat="1" applyFont="1" applyFill="1" applyBorder="1" applyAlignment="1" applyProtection="1">
      <alignment horizontal="left" vertical="center" wrapText="1"/>
      <protection locked="0"/>
    </xf>
    <xf numFmtId="0" fontId="52" fillId="26" borderId="0" xfId="0" applyFont="1" applyFill="1" applyAlignment="1">
      <alignment horizontal="left" vertical="center" wrapText="1"/>
    </xf>
    <xf numFmtId="164" fontId="17" fillId="26" borderId="0" xfId="0" applyNumberFormat="1" applyFont="1" applyFill="1" applyAlignment="1">
      <alignment horizontal="right"/>
    </xf>
    <xf numFmtId="164" fontId="17" fillId="26" borderId="10" xfId="0" applyNumberFormat="1" applyFont="1" applyFill="1" applyBorder="1" applyAlignment="1">
      <alignment horizontal="right"/>
    </xf>
    <xf numFmtId="164" fontId="17" fillId="26" borderId="0" xfId="0" applyNumberFormat="1" applyFont="1" applyFill="1" applyAlignment="1">
      <alignment horizontal="right" wrapText="1"/>
    </xf>
    <xf numFmtId="164" fontId="17" fillId="26" borderId="10" xfId="0" applyNumberFormat="1" applyFont="1" applyFill="1" applyBorder="1" applyAlignment="1">
      <alignment horizontal="right" wrapText="1"/>
    </xf>
    <xf numFmtId="0" fontId="3" fillId="26" borderId="0" xfId="0" applyFont="1" applyFill="1" applyAlignment="1" applyProtection="1">
      <alignment horizontal="left" vertical="top" wrapText="1"/>
      <protection hidden="1"/>
    </xf>
    <xf numFmtId="0" fontId="34" fillId="26" borderId="0" xfId="0" applyFont="1" applyFill="1" applyAlignment="1" applyProtection="1">
      <alignment horizontal="left" wrapText="1"/>
      <protection hidden="1"/>
    </xf>
    <xf numFmtId="164" fontId="27" fillId="26" borderId="52" xfId="0" applyNumberFormat="1" applyFont="1" applyFill="1" applyBorder="1" applyAlignment="1">
      <alignment horizontal="center" vertical="center"/>
    </xf>
    <xf numFmtId="164" fontId="27" fillId="26" borderId="31" xfId="0" applyNumberFormat="1" applyFont="1" applyFill="1" applyBorder="1" applyAlignment="1">
      <alignment horizontal="center" vertical="center"/>
    </xf>
    <xf numFmtId="164" fontId="27" fillId="26" borderId="3" xfId="0" applyNumberFormat="1" applyFont="1" applyFill="1" applyBorder="1" applyAlignment="1">
      <alignment horizontal="center" vertical="center"/>
    </xf>
    <xf numFmtId="164" fontId="27" fillId="26" borderId="82" xfId="0" applyNumberFormat="1" applyFont="1" applyFill="1" applyBorder="1" applyAlignment="1">
      <alignment horizontal="center" vertical="center" wrapText="1"/>
    </xf>
    <xf numFmtId="164" fontId="27" fillId="26" borderId="79" xfId="0" applyNumberFormat="1" applyFont="1" applyFill="1" applyBorder="1" applyAlignment="1">
      <alignment horizontal="center" vertical="center" wrapText="1"/>
    </xf>
    <xf numFmtId="164" fontId="27" fillId="26" borderId="83" xfId="0" applyNumberFormat="1" applyFont="1" applyFill="1" applyBorder="1" applyAlignment="1">
      <alignment horizontal="center" vertical="center" wrapText="1"/>
    </xf>
    <xf numFmtId="164" fontId="27" fillId="26" borderId="36" xfId="0" applyNumberFormat="1" applyFont="1" applyFill="1" applyBorder="1" applyAlignment="1">
      <alignment horizontal="center" vertical="center" wrapText="1"/>
    </xf>
    <xf numFmtId="164" fontId="27" fillId="26" borderId="5" xfId="0" applyNumberFormat="1" applyFont="1" applyFill="1" applyBorder="1" applyAlignment="1">
      <alignment horizontal="center" vertical="center" wrapText="1"/>
    </xf>
    <xf numFmtId="164" fontId="27" fillId="26" borderId="9" xfId="0" applyNumberFormat="1" applyFont="1" applyFill="1" applyBorder="1" applyAlignment="1">
      <alignment horizontal="center" vertical="center" wrapText="1"/>
    </xf>
    <xf numFmtId="2" fontId="99" fillId="8" borderId="11" xfId="0" applyNumberFormat="1" applyFont="1" applyFill="1" applyBorder="1" applyAlignment="1" applyProtection="1">
      <alignment horizontal="left" vertical="center" wrapText="1"/>
      <protection locked="0"/>
    </xf>
    <xf numFmtId="2" fontId="99" fillId="8" borderId="89" xfId="0" applyNumberFormat="1" applyFont="1" applyFill="1" applyBorder="1" applyAlignment="1" applyProtection="1">
      <alignment horizontal="left" vertical="center" wrapText="1"/>
      <protection locked="0"/>
    </xf>
    <xf numFmtId="0" fontId="86" fillId="8" borderId="11" xfId="0" applyFont="1" applyFill="1" applyBorder="1" applyAlignment="1" applyProtection="1">
      <alignment horizontal="left" wrapText="1"/>
      <protection locked="0"/>
    </xf>
    <xf numFmtId="0" fontId="86" fillId="8" borderId="89" xfId="0" applyFont="1" applyFill="1" applyBorder="1" applyAlignment="1" applyProtection="1">
      <alignment horizontal="left" wrapText="1"/>
      <protection locked="0"/>
    </xf>
    <xf numFmtId="0" fontId="111" fillId="8" borderId="11" xfId="0" applyFont="1" applyFill="1" applyBorder="1" applyAlignment="1" applyProtection="1">
      <alignment horizontal="left" wrapText="1"/>
      <protection locked="0"/>
    </xf>
    <xf numFmtId="0" fontId="111" fillId="8" borderId="89" xfId="0" applyFont="1" applyFill="1" applyBorder="1" applyAlignment="1" applyProtection="1">
      <alignment horizontal="left" wrapText="1"/>
      <protection locked="0"/>
    </xf>
    <xf numFmtId="0" fontId="37" fillId="0" borderId="0" xfId="0" applyFont="1" applyAlignment="1">
      <alignment horizontal="right" vertical="center" wrapText="1"/>
    </xf>
    <xf numFmtId="0" fontId="37" fillId="0" borderId="10" xfId="0" applyFont="1" applyBorder="1" applyAlignment="1">
      <alignment horizontal="right" vertical="center" wrapText="1"/>
    </xf>
    <xf numFmtId="164" fontId="22" fillId="26" borderId="1" xfId="0" applyNumberFormat="1" applyFont="1" applyFill="1" applyBorder="1" applyAlignment="1">
      <alignment horizontal="center" vertical="center"/>
    </xf>
    <xf numFmtId="164" fontId="22" fillId="26" borderId="0" xfId="0" applyNumberFormat="1" applyFont="1" applyFill="1" applyAlignment="1">
      <alignment horizontal="center" vertical="center"/>
    </xf>
    <xf numFmtId="164" fontId="22" fillId="26" borderId="41" xfId="0" applyNumberFormat="1" applyFont="1" applyFill="1" applyBorder="1" applyAlignment="1">
      <alignment horizontal="center" vertical="center"/>
    </xf>
    <xf numFmtId="164" fontId="22" fillId="26" borderId="24" xfId="0" applyNumberFormat="1" applyFont="1" applyFill="1" applyBorder="1" applyAlignment="1">
      <alignment horizontal="center" vertical="center"/>
    </xf>
    <xf numFmtId="164" fontId="22" fillId="26" borderId="20" xfId="0" applyNumberFormat="1" applyFont="1" applyFill="1" applyBorder="1" applyAlignment="1">
      <alignment horizontal="center" vertical="center"/>
    </xf>
    <xf numFmtId="164" fontId="22" fillId="26" borderId="8" xfId="0" applyNumberFormat="1" applyFont="1" applyFill="1" applyBorder="1" applyAlignment="1">
      <alignment horizontal="center" vertical="center"/>
    </xf>
    <xf numFmtId="0" fontId="27" fillId="26" borderId="21" xfId="0" applyFont="1" applyFill="1" applyBorder="1" applyAlignment="1">
      <alignment horizontal="center" vertical="center" wrapText="1"/>
    </xf>
    <xf numFmtId="0" fontId="27" fillId="26" borderId="11" xfId="0" applyFont="1" applyFill="1" applyBorder="1" applyAlignment="1">
      <alignment horizontal="center" vertical="center" wrapText="1"/>
    </xf>
    <xf numFmtId="0" fontId="27" fillId="26" borderId="11" xfId="0" applyFont="1" applyFill="1" applyBorder="1" applyAlignment="1">
      <alignment horizontal="center" vertical="center"/>
    </xf>
    <xf numFmtId="0" fontId="27" fillId="0" borderId="0" xfId="0" applyFont="1" applyAlignment="1">
      <alignment horizontal="right" vertical="center" wrapText="1"/>
    </xf>
    <xf numFmtId="0" fontId="27" fillId="0" borderId="10" xfId="0" applyFont="1" applyBorder="1" applyAlignment="1">
      <alignment horizontal="right" vertical="center" wrapText="1"/>
    </xf>
    <xf numFmtId="164" fontId="22" fillId="26" borderId="9" xfId="0" applyNumberFormat="1" applyFont="1" applyFill="1" applyBorder="1" applyAlignment="1">
      <alignment horizontal="center" vertical="center"/>
    </xf>
    <xf numFmtId="164" fontId="22" fillId="26" borderId="6" xfId="0" applyNumberFormat="1" applyFont="1" applyFill="1" applyBorder="1" applyAlignment="1">
      <alignment horizontal="center" vertical="center"/>
    </xf>
    <xf numFmtId="164" fontId="22" fillId="26" borderId="1" xfId="0" applyNumberFormat="1" applyFont="1" applyFill="1" applyBorder="1" applyAlignment="1">
      <alignment horizontal="center" vertical="center" wrapText="1"/>
    </xf>
    <xf numFmtId="164" fontId="22" fillId="26" borderId="10" xfId="0" applyNumberFormat="1" applyFont="1" applyFill="1" applyBorder="1" applyAlignment="1">
      <alignment horizontal="center" vertical="center" wrapText="1"/>
    </xf>
    <xf numFmtId="164" fontId="22" fillId="26" borderId="24" xfId="0" applyNumberFormat="1" applyFont="1" applyFill="1" applyBorder="1" applyAlignment="1">
      <alignment horizontal="center" vertical="center" wrapText="1"/>
    </xf>
    <xf numFmtId="164" fontId="22" fillId="26" borderId="23" xfId="0" applyNumberFormat="1" applyFont="1" applyFill="1" applyBorder="1" applyAlignment="1">
      <alignment horizontal="center" vertical="center" wrapText="1"/>
    </xf>
    <xf numFmtId="0" fontId="22" fillId="26" borderId="1" xfId="0" applyFont="1" applyFill="1" applyBorder="1" applyAlignment="1">
      <alignment horizontal="center" vertical="center" wrapText="1"/>
    </xf>
    <xf numFmtId="0" fontId="22" fillId="26" borderId="10" xfId="0" applyFont="1" applyFill="1" applyBorder="1" applyAlignment="1">
      <alignment horizontal="center" vertical="center" wrapText="1"/>
    </xf>
    <xf numFmtId="0" fontId="22" fillId="26" borderId="24" xfId="0" applyFont="1" applyFill="1" applyBorder="1" applyAlignment="1">
      <alignment horizontal="center" vertical="center" wrapText="1"/>
    </xf>
    <xf numFmtId="0" fontId="22" fillId="26" borderId="23" xfId="0" applyFont="1" applyFill="1" applyBorder="1" applyAlignment="1">
      <alignment horizontal="center" vertical="center" wrapText="1"/>
    </xf>
    <xf numFmtId="0" fontId="22" fillId="26" borderId="24" xfId="0" applyFont="1" applyFill="1" applyBorder="1" applyAlignment="1">
      <alignment horizontal="center"/>
    </xf>
    <xf numFmtId="0" fontId="22" fillId="26" borderId="20" xfId="0" applyFont="1" applyFill="1" applyBorder="1" applyAlignment="1">
      <alignment horizontal="center"/>
    </xf>
    <xf numFmtId="0" fontId="22" fillId="26" borderId="23" xfId="0" applyFont="1" applyFill="1" applyBorder="1" applyAlignment="1">
      <alignment horizontal="center"/>
    </xf>
    <xf numFmtId="0" fontId="17" fillId="26" borderId="10" xfId="0" applyFont="1" applyFill="1" applyBorder="1" applyAlignment="1">
      <alignment horizontal="center" vertical="center"/>
    </xf>
    <xf numFmtId="0" fontId="17" fillId="26" borderId="66" xfId="0" applyFont="1" applyFill="1" applyBorder="1" applyAlignment="1">
      <alignment horizontal="center" vertical="center" wrapText="1"/>
    </xf>
    <xf numFmtId="0" fontId="17" fillId="26" borderId="32" xfId="0" applyFont="1" applyFill="1" applyBorder="1" applyAlignment="1">
      <alignment horizontal="center" vertical="center" wrapText="1"/>
    </xf>
    <xf numFmtId="0" fontId="74" fillId="26" borderId="1" xfId="0" applyFont="1" applyFill="1" applyBorder="1" applyAlignment="1">
      <alignment horizontal="center" vertical="center"/>
    </xf>
    <xf numFmtId="0" fontId="74" fillId="26" borderId="10" xfId="0" applyFont="1" applyFill="1" applyBorder="1" applyAlignment="1">
      <alignment horizontal="center" vertical="center"/>
    </xf>
    <xf numFmtId="0" fontId="74" fillId="26" borderId="24" xfId="0" applyFont="1" applyFill="1" applyBorder="1" applyAlignment="1">
      <alignment horizontal="center" vertical="center"/>
    </xf>
    <xf numFmtId="0" fontId="74" fillId="26" borderId="23" xfId="0" applyFont="1" applyFill="1" applyBorder="1" applyAlignment="1">
      <alignment horizontal="center" vertical="center"/>
    </xf>
    <xf numFmtId="0" fontId="22" fillId="26" borderId="78" xfId="0" applyFont="1" applyFill="1" applyBorder="1" applyAlignment="1">
      <alignment horizontal="center" vertical="center"/>
    </xf>
    <xf numFmtId="0" fontId="22" fillId="26" borderId="46" xfId="0" applyFont="1" applyFill="1" applyBorder="1" applyAlignment="1">
      <alignment horizontal="center" vertical="center"/>
    </xf>
    <xf numFmtId="0" fontId="22" fillId="26" borderId="24" xfId="0" applyFont="1" applyFill="1" applyBorder="1" applyAlignment="1">
      <alignment horizontal="center" vertical="center"/>
    </xf>
    <xf numFmtId="0" fontId="22" fillId="26" borderId="23" xfId="0" applyFont="1" applyFill="1" applyBorder="1" applyAlignment="1">
      <alignment horizontal="center" vertical="center"/>
    </xf>
    <xf numFmtId="0" fontId="22" fillId="26" borderId="1" xfId="0" applyFont="1" applyFill="1" applyBorder="1" applyAlignment="1">
      <alignment horizontal="center" vertical="center"/>
    </xf>
    <xf numFmtId="0" fontId="22" fillId="26" borderId="10" xfId="0" applyFont="1" applyFill="1" applyBorder="1" applyAlignment="1">
      <alignment horizontal="center" vertical="center"/>
    </xf>
    <xf numFmtId="0" fontId="38" fillId="8" borderId="1" xfId="0" applyFont="1" applyFill="1" applyBorder="1" applyAlignment="1">
      <alignment horizontal="center" vertical="center" wrapText="1"/>
    </xf>
    <xf numFmtId="0" fontId="38" fillId="8" borderId="41" xfId="0" applyFont="1" applyFill="1" applyBorder="1" applyAlignment="1">
      <alignment horizontal="center" vertical="center" wrapText="1"/>
    </xf>
    <xf numFmtId="0" fontId="74" fillId="26" borderId="46" xfId="0" applyFont="1" applyFill="1" applyBorder="1" applyAlignment="1">
      <alignment horizontal="center" vertical="center" wrapText="1"/>
    </xf>
    <xf numFmtId="0" fontId="74" fillId="26" borderId="23" xfId="0" applyFont="1" applyFill="1" applyBorder="1" applyAlignment="1">
      <alignment horizontal="center" vertical="center" wrapText="1"/>
    </xf>
    <xf numFmtId="0" fontId="38" fillId="26" borderId="46" xfId="0" applyFont="1" applyFill="1" applyBorder="1" applyAlignment="1">
      <alignment horizontal="center" vertical="center" wrapText="1"/>
    </xf>
    <xf numFmtId="0" fontId="38" fillId="26" borderId="23" xfId="0" applyFont="1" applyFill="1" applyBorder="1" applyAlignment="1">
      <alignment horizontal="center" vertical="center" wrapText="1"/>
    </xf>
    <xf numFmtId="0" fontId="17" fillId="0" borderId="0" xfId="0" applyFont="1" applyAlignment="1">
      <alignment horizontal="right" wrapText="1"/>
    </xf>
    <xf numFmtId="0" fontId="112" fillId="0" borderId="0" xfId="0" applyFont="1" applyAlignment="1">
      <alignment horizontal="left" vertical="center"/>
    </xf>
    <xf numFmtId="0" fontId="61" fillId="0" borderId="0" xfId="0" applyFont="1" applyAlignment="1">
      <alignment horizontal="center"/>
    </xf>
    <xf numFmtId="0" fontId="87" fillId="11" borderId="12" xfId="0" applyFont="1" applyFill="1" applyBorder="1" applyAlignment="1">
      <alignment horizontal="left" vertical="center" wrapText="1"/>
    </xf>
    <xf numFmtId="0" fontId="87" fillId="11" borderId="115" xfId="0" applyFont="1" applyFill="1" applyBorder="1" applyAlignment="1">
      <alignment horizontal="left" vertical="center" wrapText="1"/>
    </xf>
    <xf numFmtId="0" fontId="87" fillId="11" borderId="0" xfId="0" applyFont="1" applyFill="1" applyAlignment="1">
      <alignment horizontal="left" vertical="center" wrapText="1"/>
    </xf>
    <xf numFmtId="0" fontId="87" fillId="11" borderId="116" xfId="0" applyFont="1" applyFill="1" applyBorder="1" applyAlignment="1">
      <alignment horizontal="left" vertical="center" wrapText="1"/>
    </xf>
    <xf numFmtId="0" fontId="54" fillId="11" borderId="118" xfId="0" applyFont="1" applyFill="1" applyBorder="1" applyAlignment="1">
      <alignment horizontal="left" vertical="center" wrapText="1"/>
    </xf>
    <xf numFmtId="0" fontId="54" fillId="11" borderId="108" xfId="0" applyFont="1" applyFill="1" applyBorder="1" applyAlignment="1">
      <alignment horizontal="left" vertical="center" wrapText="1"/>
    </xf>
    <xf numFmtId="0" fontId="54" fillId="11" borderId="114" xfId="0" applyFont="1" applyFill="1" applyBorder="1" applyAlignment="1">
      <alignment horizontal="left" vertical="center" wrapText="1"/>
    </xf>
    <xf numFmtId="0" fontId="3" fillId="11" borderId="0" xfId="0" applyFont="1" applyFill="1" applyAlignment="1">
      <alignment horizontal="left" vertical="center" wrapText="1"/>
    </xf>
    <xf numFmtId="0" fontId="3" fillId="11" borderId="10" xfId="0" applyFont="1" applyFill="1" applyBorder="1" applyAlignment="1">
      <alignment horizontal="left" vertical="center" wrapText="1"/>
    </xf>
    <xf numFmtId="0" fontId="17" fillId="0" borderId="78" xfId="0" applyFont="1" applyBorder="1" applyAlignment="1">
      <alignment horizontal="right" wrapText="1"/>
    </xf>
    <xf numFmtId="0" fontId="17" fillId="0" borderId="46" xfId="0" applyFont="1" applyBorder="1" applyAlignment="1">
      <alignment horizontal="right" wrapText="1"/>
    </xf>
    <xf numFmtId="0" fontId="27" fillId="0" borderId="78" xfId="0" applyFont="1" applyBorder="1" applyAlignment="1">
      <alignment horizontal="right" vertical="center" wrapText="1"/>
    </xf>
    <xf numFmtId="0" fontId="27" fillId="0" borderId="12" xfId="0" applyFont="1" applyBorder="1" applyAlignment="1">
      <alignment horizontal="right" vertical="center" wrapText="1"/>
    </xf>
    <xf numFmtId="0" fontId="27" fillId="0" borderId="24" xfId="0" applyFont="1" applyBorder="1" applyAlignment="1">
      <alignment horizontal="right" vertical="center" wrapText="1"/>
    </xf>
    <xf numFmtId="0" fontId="27" fillId="0" borderId="20" xfId="0" applyFont="1" applyBorder="1" applyAlignment="1">
      <alignment horizontal="right" vertical="center" wrapText="1"/>
    </xf>
    <xf numFmtId="0" fontId="17" fillId="0" borderId="21" xfId="0" applyFont="1" applyBorder="1" applyAlignment="1">
      <alignment horizontal="center" wrapText="1"/>
    </xf>
    <xf numFmtId="0" fontId="17" fillId="0" borderId="37" xfId="0" applyFont="1" applyBorder="1" applyAlignment="1">
      <alignment horizontal="center" wrapText="1"/>
    </xf>
    <xf numFmtId="0" fontId="92" fillId="0" borderId="0" xfId="0" applyFont="1" applyAlignment="1">
      <alignment horizontal="left"/>
    </xf>
    <xf numFmtId="0" fontId="114" fillId="0" borderId="0" xfId="4" applyFont="1" applyBorder="1" applyAlignment="1" applyProtection="1">
      <alignment horizontal="center"/>
      <protection locked="0"/>
    </xf>
    <xf numFmtId="0" fontId="114" fillId="0" borderId="10" xfId="4" applyFont="1" applyBorder="1" applyAlignment="1" applyProtection="1">
      <alignment horizontal="center"/>
      <protection locked="0"/>
    </xf>
    <xf numFmtId="0" fontId="3" fillId="0" borderId="1" xfId="0" applyFont="1" applyBorder="1" applyAlignment="1">
      <alignment horizontal="left" wrapText="1" indent="1"/>
    </xf>
    <xf numFmtId="0" fontId="3" fillId="0" borderId="0" xfId="0" applyFont="1" applyAlignment="1">
      <alignment horizontal="left" wrapText="1" indent="1"/>
    </xf>
    <xf numFmtId="0" fontId="3" fillId="0" borderId="10" xfId="0" applyFont="1" applyBorder="1" applyAlignment="1">
      <alignment horizontal="left" wrapText="1" indent="1"/>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3" xfId="0" applyFont="1" applyBorder="1" applyAlignment="1">
      <alignment horizontal="left" indent="1"/>
    </xf>
    <xf numFmtId="0" fontId="3" fillId="17" borderId="26" xfId="0" applyFont="1" applyFill="1" applyBorder="1" applyAlignment="1">
      <alignment horizontal="left" wrapText="1"/>
    </xf>
    <xf numFmtId="0" fontId="3" fillId="17" borderId="22" xfId="0" applyFont="1" applyFill="1" applyBorder="1" applyAlignment="1">
      <alignment horizontal="left" wrapText="1"/>
    </xf>
    <xf numFmtId="0" fontId="3" fillId="17" borderId="27" xfId="0" applyFont="1" applyFill="1" applyBorder="1" applyAlignment="1">
      <alignment horizontal="left" wrapText="1"/>
    </xf>
    <xf numFmtId="0" fontId="3" fillId="17" borderId="1" xfId="0" applyFont="1" applyFill="1" applyBorder="1" applyAlignment="1">
      <alignment horizontal="left" wrapText="1"/>
    </xf>
    <xf numFmtId="0" fontId="3" fillId="17" borderId="0" xfId="0" applyFont="1" applyFill="1" applyAlignment="1">
      <alignment horizontal="left" wrapText="1"/>
    </xf>
    <xf numFmtId="0" fontId="3" fillId="17" borderId="10" xfId="0" applyFont="1" applyFill="1" applyBorder="1" applyAlignment="1">
      <alignment horizontal="left" wrapText="1"/>
    </xf>
    <xf numFmtId="0" fontId="3" fillId="17" borderId="24" xfId="0" applyFont="1" applyFill="1" applyBorder="1" applyAlignment="1">
      <alignment horizontal="left" wrapText="1"/>
    </xf>
    <xf numFmtId="0" fontId="3" fillId="17" borderId="20" xfId="0" applyFont="1" applyFill="1" applyBorder="1" applyAlignment="1">
      <alignment horizontal="left" wrapText="1"/>
    </xf>
    <xf numFmtId="0" fontId="3" fillId="17" borderId="23" xfId="0" applyFont="1" applyFill="1" applyBorder="1" applyAlignment="1">
      <alignment horizontal="left" wrapText="1"/>
    </xf>
    <xf numFmtId="0" fontId="22" fillId="5" borderId="43" xfId="0" applyFont="1" applyFill="1" applyBorder="1" applyAlignment="1">
      <alignment horizontal="left" vertical="center" wrapText="1"/>
    </xf>
    <xf numFmtId="0" fontId="22" fillId="9" borderId="43" xfId="0" applyFont="1" applyFill="1" applyBorder="1" applyAlignment="1">
      <alignment horizontal="left" wrapText="1"/>
    </xf>
    <xf numFmtId="164" fontId="53" fillId="26" borderId="9" xfId="0" applyNumberFormat="1" applyFont="1" applyFill="1" applyBorder="1" applyAlignment="1">
      <alignment horizontal="center" wrapText="1"/>
    </xf>
    <xf numFmtId="164" fontId="53" fillId="26" borderId="14" xfId="0" applyNumberFormat="1" applyFont="1" applyFill="1" applyBorder="1" applyAlignment="1">
      <alignment horizontal="center" wrapText="1"/>
    </xf>
    <xf numFmtId="164" fontId="22" fillId="26" borderId="14" xfId="0" applyNumberFormat="1" applyFont="1" applyFill="1" applyBorder="1" applyAlignment="1">
      <alignment horizontal="center" vertical="center"/>
    </xf>
    <xf numFmtId="164" fontId="27" fillId="26" borderId="9" xfId="0" applyNumberFormat="1" applyFont="1" applyFill="1" applyBorder="1" applyAlignment="1">
      <alignment horizontal="center"/>
    </xf>
    <xf numFmtId="0" fontId="17" fillId="26" borderId="9" xfId="0" applyFont="1" applyFill="1" applyBorder="1" applyAlignment="1">
      <alignment horizontal="center" vertical="center" wrapText="1"/>
    </xf>
    <xf numFmtId="0" fontId="17" fillId="26" borderId="14" xfId="0" applyFont="1" applyFill="1" applyBorder="1" applyAlignment="1">
      <alignment horizontal="center" vertical="center" wrapText="1"/>
    </xf>
    <xf numFmtId="164" fontId="22" fillId="26" borderId="42" xfId="0" applyNumberFormat="1" applyFont="1" applyFill="1" applyBorder="1" applyAlignment="1">
      <alignment horizontal="center" vertical="center"/>
    </xf>
    <xf numFmtId="164" fontId="22" fillId="26" borderId="13" xfId="0" applyNumberFormat="1" applyFont="1" applyFill="1" applyBorder="1" applyAlignment="1">
      <alignment horizontal="center" vertical="center"/>
    </xf>
    <xf numFmtId="0" fontId="27" fillId="26" borderId="31" xfId="0" applyFont="1" applyFill="1" applyBorder="1" applyAlignment="1">
      <alignment horizontal="center" vertical="center"/>
    </xf>
    <xf numFmtId="0" fontId="27" fillId="26" borderId="3" xfId="0" applyFont="1" applyFill="1" applyBorder="1" applyAlignment="1">
      <alignment horizontal="center" vertical="center"/>
    </xf>
    <xf numFmtId="0" fontId="17" fillId="26" borderId="9" xfId="0" applyFont="1" applyFill="1" applyBorder="1" applyAlignment="1">
      <alignment horizontal="center" wrapText="1"/>
    </xf>
    <xf numFmtId="0" fontId="17" fillId="26" borderId="14" xfId="0" applyFont="1" applyFill="1" applyBorder="1" applyAlignment="1">
      <alignment horizontal="center" wrapText="1"/>
    </xf>
    <xf numFmtId="164" fontId="22" fillId="26" borderId="34" xfId="0" applyNumberFormat="1" applyFont="1" applyFill="1" applyBorder="1" applyAlignment="1">
      <alignment horizontal="center" vertical="center"/>
    </xf>
    <xf numFmtId="164" fontId="22" fillId="26" borderId="65" xfId="0" applyNumberFormat="1" applyFont="1" applyFill="1" applyBorder="1" applyAlignment="1">
      <alignment horizontal="center" vertical="center"/>
    </xf>
    <xf numFmtId="0" fontId="53" fillId="26" borderId="9" xfId="0" applyFont="1" applyFill="1" applyBorder="1" applyAlignment="1">
      <alignment horizontal="center" vertical="center" wrapText="1"/>
    </xf>
    <xf numFmtId="0" fontId="53" fillId="26" borderId="14" xfId="0" applyFont="1" applyFill="1" applyBorder="1" applyAlignment="1">
      <alignment horizontal="center" vertical="center" wrapText="1"/>
    </xf>
    <xf numFmtId="0" fontId="21" fillId="17" borderId="0" xfId="0" applyFont="1" applyFill="1" applyAlignment="1">
      <alignment horizontal="left" vertical="center" wrapText="1"/>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wrapText="1" indent="2"/>
    </xf>
    <xf numFmtId="0" fontId="21" fillId="0" borderId="0" xfId="0" applyFont="1" applyAlignment="1">
      <alignment horizontal="left" vertical="center" wrapText="1" indent="2"/>
    </xf>
    <xf numFmtId="0" fontId="21" fillId="0" borderId="20" xfId="0" applyFont="1" applyBorder="1" applyAlignment="1">
      <alignment horizontal="left" wrapText="1" indent="2"/>
    </xf>
    <xf numFmtId="0" fontId="15" fillId="5" borderId="21" xfId="0" applyFont="1" applyFill="1" applyBorder="1" applyAlignment="1">
      <alignment horizontal="left" wrapText="1"/>
    </xf>
    <xf numFmtId="0" fontId="15" fillId="5" borderId="37" xfId="0" applyFont="1" applyFill="1" applyBorder="1" applyAlignment="1">
      <alignment horizontal="left" wrapText="1"/>
    </xf>
    <xf numFmtId="0" fontId="15" fillId="5" borderId="11" xfId="0" applyFont="1" applyFill="1" applyBorder="1" applyAlignment="1">
      <alignment horizontal="left" wrapText="1"/>
    </xf>
    <xf numFmtId="0" fontId="37" fillId="26" borderId="21" xfId="0" applyFont="1" applyFill="1" applyBorder="1" applyAlignment="1">
      <alignment horizontal="center" vertical="center" wrapText="1"/>
    </xf>
    <xf numFmtId="0" fontId="37" fillId="26" borderId="37" xfId="0" applyFont="1" applyFill="1" applyBorder="1" applyAlignment="1">
      <alignment horizontal="center" vertical="center" wrapText="1"/>
    </xf>
    <xf numFmtId="0" fontId="37" fillId="26" borderId="11" xfId="0" applyFont="1" applyFill="1" applyBorder="1" applyAlignment="1">
      <alignment vertical="center"/>
    </xf>
    <xf numFmtId="0" fontId="37" fillId="27" borderId="1" xfId="0" applyFont="1" applyFill="1" applyBorder="1" applyAlignment="1">
      <alignment horizontal="left" vertical="center" wrapText="1"/>
    </xf>
    <xf numFmtId="0" fontId="37" fillId="27" borderId="0" xfId="0" applyFont="1" applyFill="1" applyAlignment="1">
      <alignment horizontal="left" vertical="center" wrapText="1"/>
    </xf>
    <xf numFmtId="0" fontId="37" fillId="27" borderId="49" xfId="0" applyFont="1" applyFill="1" applyBorder="1" applyAlignment="1">
      <alignment horizontal="left" vertical="center" wrapText="1"/>
    </xf>
    <xf numFmtId="0" fontId="37" fillId="27" borderId="16" xfId="0" applyFont="1" applyFill="1" applyBorder="1" applyAlignment="1">
      <alignment horizontal="left" vertical="center" wrapText="1"/>
    </xf>
    <xf numFmtId="164" fontId="17" fillId="26" borderId="36" xfId="0" applyNumberFormat="1" applyFont="1" applyFill="1" applyBorder="1" applyAlignment="1">
      <alignment horizontal="center" wrapText="1"/>
    </xf>
    <xf numFmtId="164" fontId="17" fillId="26" borderId="5" xfId="0" applyNumberFormat="1" applyFont="1" applyFill="1" applyBorder="1" applyAlignment="1">
      <alignment horizontal="center" wrapText="1"/>
    </xf>
    <xf numFmtId="164" fontId="17" fillId="26" borderId="15" xfId="0" applyNumberFormat="1" applyFont="1" applyFill="1" applyBorder="1" applyAlignment="1">
      <alignment horizontal="center" wrapText="1"/>
    </xf>
    <xf numFmtId="0" fontId="15" fillId="5" borderId="37" xfId="0" applyFont="1" applyFill="1" applyBorder="1" applyAlignment="1">
      <alignment horizontal="left" vertical="center"/>
    </xf>
    <xf numFmtId="0" fontId="22" fillId="26" borderId="21" xfId="0" applyFont="1" applyFill="1" applyBorder="1" applyAlignment="1">
      <alignment horizontal="center" vertical="center" wrapText="1"/>
    </xf>
    <xf numFmtId="0" fontId="22" fillId="26" borderId="37"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11" fillId="13" borderId="36" xfId="0" applyFont="1" applyFill="1" applyBorder="1" applyAlignment="1">
      <alignment horizontal="center"/>
    </xf>
    <xf numFmtId="0" fontId="11" fillId="13" borderId="5" xfId="0" applyFont="1" applyFill="1" applyBorder="1" applyAlignment="1">
      <alignment horizontal="center"/>
    </xf>
    <xf numFmtId="0" fontId="11" fillId="13" borderId="15" xfId="0" applyFont="1" applyFill="1" applyBorder="1" applyAlignment="1">
      <alignment horizontal="center"/>
    </xf>
    <xf numFmtId="0" fontId="27" fillId="26" borderId="37" xfId="0" applyFont="1" applyFill="1" applyBorder="1" applyAlignment="1">
      <alignment horizontal="center"/>
    </xf>
    <xf numFmtId="0" fontId="27" fillId="26" borderId="50" xfId="0" applyFont="1" applyFill="1" applyBorder="1" applyAlignment="1">
      <alignment horizontal="center"/>
    </xf>
    <xf numFmtId="0" fontId="27" fillId="26" borderId="11" xfId="0" applyFont="1" applyFill="1" applyBorder="1" applyAlignment="1">
      <alignment horizontal="center"/>
    </xf>
    <xf numFmtId="0" fontId="27" fillId="26" borderId="21" xfId="0" applyFont="1" applyFill="1" applyBorder="1" applyAlignment="1">
      <alignment horizontal="center"/>
    </xf>
    <xf numFmtId="0" fontId="52" fillId="0" borderId="22" xfId="0" applyFont="1" applyBorder="1" applyAlignment="1">
      <alignment horizontal="left" vertical="center" wrapText="1"/>
    </xf>
    <xf numFmtId="0" fontId="17" fillId="13" borderId="78" xfId="0" applyFont="1" applyFill="1" applyBorder="1" applyAlignment="1">
      <alignment horizontal="right" vertical="center" wrapText="1"/>
    </xf>
    <xf numFmtId="0" fontId="17" fillId="13" borderId="12" xfId="0" applyFont="1" applyFill="1" applyBorder="1" applyAlignment="1">
      <alignment horizontal="right" vertical="center" wrapText="1"/>
    </xf>
    <xf numFmtId="0" fontId="17" fillId="13" borderId="46" xfId="0" applyFont="1" applyFill="1" applyBorder="1" applyAlignment="1">
      <alignment horizontal="right" vertical="center" wrapText="1"/>
    </xf>
    <xf numFmtId="0" fontId="17" fillId="13" borderId="24" xfId="0" applyFont="1" applyFill="1" applyBorder="1" applyAlignment="1">
      <alignment horizontal="right" vertical="center" wrapText="1"/>
    </xf>
    <xf numFmtId="0" fontId="17" fillId="13" borderId="20" xfId="0" applyFont="1" applyFill="1" applyBorder="1" applyAlignment="1">
      <alignment horizontal="right" vertical="center" wrapText="1"/>
    </xf>
    <xf numFmtId="0" fontId="17" fillId="13" borderId="23" xfId="0" applyFont="1" applyFill="1" applyBorder="1" applyAlignment="1">
      <alignment horizontal="right" vertical="center" wrapText="1"/>
    </xf>
    <xf numFmtId="164" fontId="38" fillId="15" borderId="43" xfId="0" applyNumberFormat="1" applyFont="1" applyFill="1" applyBorder="1" applyAlignment="1">
      <alignment horizontal="right" vertical="center" wrapText="1"/>
    </xf>
    <xf numFmtId="164" fontId="38" fillId="15" borderId="29" xfId="0" applyNumberFormat="1" applyFont="1" applyFill="1" applyBorder="1" applyAlignment="1">
      <alignment horizontal="right" vertical="center" wrapText="1"/>
    </xf>
    <xf numFmtId="164" fontId="38" fillId="16" borderId="43" xfId="0" applyNumberFormat="1" applyFont="1" applyFill="1" applyBorder="1" applyAlignment="1">
      <alignment horizontal="right" vertical="center" wrapText="1"/>
    </xf>
    <xf numFmtId="164" fontId="38" fillId="16" borderId="29" xfId="0" applyNumberFormat="1" applyFont="1" applyFill="1" applyBorder="1" applyAlignment="1">
      <alignment horizontal="right" vertical="center" wrapText="1"/>
    </xf>
    <xf numFmtId="164" fontId="38" fillId="17" borderId="38" xfId="0" applyNumberFormat="1" applyFont="1" applyFill="1" applyBorder="1" applyAlignment="1">
      <alignment horizontal="right" vertical="center" wrapText="1"/>
    </xf>
    <xf numFmtId="164" fontId="38" fillId="17" borderId="29" xfId="0" applyNumberFormat="1" applyFont="1" applyFill="1" applyBorder="1" applyAlignment="1">
      <alignment horizontal="right" vertical="center" wrapText="1"/>
    </xf>
    <xf numFmtId="0" fontId="17" fillId="13" borderId="0" xfId="0" applyFont="1" applyFill="1" applyAlignment="1">
      <alignment horizontal="right" vertical="center" wrapText="1"/>
    </xf>
    <xf numFmtId="0" fontId="17" fillId="13" borderId="10" xfId="0" applyFont="1" applyFill="1" applyBorder="1" applyAlignment="1">
      <alignment horizontal="right" vertical="center" wrapText="1"/>
    </xf>
    <xf numFmtId="0" fontId="17" fillId="13" borderId="1" xfId="0" applyFont="1" applyFill="1" applyBorder="1" applyAlignment="1">
      <alignment horizontal="right" vertical="center" wrapText="1"/>
    </xf>
    <xf numFmtId="0" fontId="38" fillId="18" borderId="38" xfId="0" applyFont="1" applyFill="1" applyBorder="1" applyAlignment="1">
      <alignment horizontal="right" vertical="center" wrapText="1"/>
    </xf>
    <xf numFmtId="0" fontId="38" fillId="18" borderId="29" xfId="0" applyFont="1" applyFill="1" applyBorder="1" applyAlignment="1">
      <alignment horizontal="right" vertical="center" wrapText="1"/>
    </xf>
    <xf numFmtId="0" fontId="87" fillId="15" borderId="43" xfId="0" applyFont="1" applyFill="1" applyBorder="1" applyAlignment="1">
      <alignment horizontal="right" vertical="center" wrapText="1"/>
    </xf>
    <xf numFmtId="0" fontId="87" fillId="15" borderId="29" xfId="0" applyFont="1" applyFill="1" applyBorder="1" applyAlignment="1">
      <alignment horizontal="right" vertical="center" wrapText="1"/>
    </xf>
    <xf numFmtId="0" fontId="3" fillId="0" borderId="0" xfId="0" applyFont="1" applyAlignment="1">
      <alignment horizontal="left" vertical="center" wrapText="1"/>
    </xf>
    <xf numFmtId="0" fontId="37" fillId="13" borderId="44" xfId="0" applyFont="1" applyFill="1" applyBorder="1" applyAlignment="1">
      <alignment horizontal="right" vertical="center" wrapText="1"/>
    </xf>
    <xf numFmtId="0" fontId="37" fillId="13" borderId="6" xfId="0" applyFont="1" applyFill="1" applyBorder="1" applyAlignment="1">
      <alignment horizontal="right" vertical="center" wrapText="1"/>
    </xf>
    <xf numFmtId="0" fontId="37" fillId="13" borderId="110" xfId="0" applyFont="1" applyFill="1" applyBorder="1" applyAlignment="1">
      <alignment horizontal="right" vertical="center" wrapText="1"/>
    </xf>
    <xf numFmtId="0" fontId="37" fillId="13" borderId="9" xfId="0" applyFont="1" applyFill="1" applyBorder="1" applyAlignment="1">
      <alignment horizontal="right" vertical="center" wrapText="1"/>
    </xf>
    <xf numFmtId="0" fontId="46" fillId="0" borderId="0" xfId="0" applyFont="1" applyAlignment="1">
      <alignment horizontal="left" vertical="center" wrapText="1"/>
    </xf>
    <xf numFmtId="0" fontId="3" fillId="0" borderId="0" xfId="0" applyFont="1" applyAlignment="1">
      <alignment horizontal="left" vertical="top" wrapText="1"/>
    </xf>
    <xf numFmtId="0" fontId="15" fillId="26" borderId="54" xfId="0" applyFont="1" applyFill="1" applyBorder="1" applyAlignment="1">
      <alignment horizontal="center" vertical="center"/>
    </xf>
    <xf numFmtId="0" fontId="15" fillId="26" borderId="53" xfId="0" applyFont="1" applyFill="1" applyBorder="1" applyAlignment="1">
      <alignment horizontal="center" vertical="center"/>
    </xf>
    <xf numFmtId="0" fontId="15" fillId="26" borderId="121" xfId="0" applyFont="1" applyFill="1" applyBorder="1" applyAlignment="1">
      <alignment horizontal="center" vertical="center"/>
    </xf>
    <xf numFmtId="0" fontId="17" fillId="26" borderId="120" xfId="0" applyFont="1" applyFill="1" applyBorder="1" applyAlignment="1">
      <alignment horizontal="center" vertical="center" wrapText="1"/>
    </xf>
    <xf numFmtId="0" fontId="17" fillId="26" borderId="33" xfId="0" applyFont="1" applyFill="1" applyBorder="1" applyAlignment="1">
      <alignment horizontal="center" vertical="center" wrapText="1"/>
    </xf>
    <xf numFmtId="0" fontId="17" fillId="26" borderId="68" xfId="0" applyFont="1" applyFill="1" applyBorder="1" applyAlignment="1">
      <alignment horizontal="center" vertical="center" wrapText="1"/>
    </xf>
    <xf numFmtId="0" fontId="15" fillId="26" borderId="12" xfId="0" applyFont="1" applyFill="1" applyBorder="1" applyAlignment="1">
      <alignment horizontal="center" wrapText="1"/>
    </xf>
    <xf numFmtId="0" fontId="15" fillId="26" borderId="71" xfId="0" applyFont="1" applyFill="1" applyBorder="1" applyAlignment="1">
      <alignment horizontal="center" wrapText="1"/>
    </xf>
    <xf numFmtId="0" fontId="15" fillId="26" borderId="16" xfId="0" applyFont="1" applyFill="1" applyBorder="1" applyAlignment="1">
      <alignment horizontal="center" wrapText="1"/>
    </xf>
    <xf numFmtId="0" fontId="15" fillId="26" borderId="30" xfId="0" applyFont="1" applyFill="1" applyBorder="1" applyAlignment="1">
      <alignment horizontal="center" wrapText="1"/>
    </xf>
    <xf numFmtId="0" fontId="17" fillId="26" borderId="70" xfId="0" applyFont="1" applyFill="1" applyBorder="1" applyAlignment="1">
      <alignment horizontal="left" vertical="center" wrapText="1"/>
    </xf>
    <xf numFmtId="0" fontId="17" fillId="26" borderId="12" xfId="0" applyFont="1" applyFill="1" applyBorder="1" applyAlignment="1">
      <alignment horizontal="left" vertical="center" wrapText="1"/>
    </xf>
    <xf numFmtId="0" fontId="17" fillId="26" borderId="71" xfId="0" applyFont="1" applyFill="1" applyBorder="1" applyAlignment="1">
      <alignment horizontal="left" vertical="center" wrapText="1"/>
    </xf>
    <xf numFmtId="0" fontId="17" fillId="26" borderId="65" xfId="0" applyFont="1" applyFill="1" applyBorder="1" applyAlignment="1">
      <alignment horizontal="left" vertical="center" wrapText="1"/>
    </xf>
    <xf numFmtId="0" fontId="17" fillId="26" borderId="16" xfId="0" applyFont="1" applyFill="1" applyBorder="1" applyAlignment="1">
      <alignment horizontal="left" vertical="center" wrapText="1"/>
    </xf>
    <xf numFmtId="0" fontId="17" fillId="26" borderId="30" xfId="0" applyFont="1" applyFill="1" applyBorder="1" applyAlignment="1">
      <alignment horizontal="left" vertical="center" wrapText="1"/>
    </xf>
    <xf numFmtId="2" fontId="3" fillId="26" borderId="38" xfId="0" applyNumberFormat="1" applyFont="1" applyFill="1" applyBorder="1" applyAlignment="1">
      <alignment horizontal="center" vertical="center"/>
    </xf>
    <xf numFmtId="2" fontId="3" fillId="26" borderId="43" xfId="0" applyNumberFormat="1" applyFont="1" applyFill="1" applyBorder="1" applyAlignment="1">
      <alignment horizontal="center" vertical="center"/>
    </xf>
    <xf numFmtId="2" fontId="3" fillId="26" borderId="40" xfId="0" applyNumberFormat="1" applyFont="1" applyFill="1" applyBorder="1" applyAlignment="1">
      <alignment horizontal="center" vertical="center"/>
    </xf>
    <xf numFmtId="2" fontId="37" fillId="14" borderId="72" xfId="0" applyNumberFormat="1" applyFont="1" applyFill="1" applyBorder="1" applyAlignment="1" applyProtection="1">
      <alignment horizontal="center" vertical="center" wrapText="1"/>
      <protection locked="0"/>
    </xf>
    <xf numFmtId="2" fontId="37" fillId="14" borderId="29" xfId="0" applyNumberFormat="1" applyFont="1" applyFill="1" applyBorder="1" applyAlignment="1" applyProtection="1">
      <alignment horizontal="center" vertical="center" wrapText="1"/>
      <protection locked="0"/>
    </xf>
    <xf numFmtId="0" fontId="22" fillId="26" borderId="54" xfId="0" applyFont="1" applyFill="1" applyBorder="1" applyAlignment="1">
      <alignment horizontal="center" vertical="center"/>
    </xf>
    <xf numFmtId="0" fontId="22" fillId="26" borderId="53" xfId="0" applyFont="1" applyFill="1" applyBorder="1" applyAlignment="1">
      <alignment horizontal="center" vertical="center"/>
    </xf>
    <xf numFmtId="0" fontId="22" fillId="26" borderId="64" xfId="0" applyFont="1" applyFill="1" applyBorder="1" applyAlignment="1">
      <alignment horizontal="center" vertical="center"/>
    </xf>
    <xf numFmtId="0" fontId="22" fillId="26" borderId="53" xfId="0" applyFont="1" applyFill="1" applyBorder="1" applyAlignment="1">
      <alignment horizontal="center" vertical="center" wrapText="1"/>
    </xf>
    <xf numFmtId="0" fontId="22" fillId="26" borderId="64" xfId="0" applyFont="1" applyFill="1" applyBorder="1" applyAlignment="1">
      <alignment horizontal="center" vertical="center" wrapText="1"/>
    </xf>
    <xf numFmtId="0" fontId="22" fillId="26" borderId="110" xfId="0" applyFont="1" applyFill="1" applyBorder="1" applyAlignment="1">
      <alignment horizontal="center"/>
    </xf>
    <xf numFmtId="0" fontId="22" fillId="26" borderId="15" xfId="0" applyFont="1" applyFill="1" applyBorder="1" applyAlignment="1">
      <alignment horizontal="center"/>
    </xf>
    <xf numFmtId="0" fontId="88" fillId="8" borderId="21" xfId="0" applyFont="1" applyFill="1" applyBorder="1" applyAlignment="1" applyProtection="1">
      <alignment horizontal="left" vertical="center" wrapText="1"/>
      <protection locked="0"/>
    </xf>
    <xf numFmtId="0" fontId="88" fillId="8" borderId="11" xfId="0" applyFont="1" applyFill="1" applyBorder="1" applyAlignment="1" applyProtection="1">
      <alignment horizontal="left" vertical="center" wrapText="1"/>
      <protection locked="0"/>
    </xf>
    <xf numFmtId="0" fontId="88" fillId="8" borderId="24" xfId="0" applyFont="1" applyFill="1" applyBorder="1" applyAlignment="1" applyProtection="1">
      <alignment horizontal="left" vertical="center" wrapText="1"/>
      <protection locked="0"/>
    </xf>
    <xf numFmtId="0" fontId="88" fillId="8" borderId="23" xfId="0" applyFont="1" applyFill="1" applyBorder="1" applyAlignment="1" applyProtection="1">
      <alignment horizontal="left" vertical="center" wrapText="1"/>
      <protection locked="0"/>
    </xf>
    <xf numFmtId="2" fontId="17" fillId="26" borderId="26" xfId="0" applyNumberFormat="1" applyFont="1" applyFill="1" applyBorder="1" applyAlignment="1">
      <alignment horizontal="center" wrapText="1"/>
    </xf>
    <xf numFmtId="2" fontId="17" fillId="26" borderId="27" xfId="0" applyNumberFormat="1" applyFont="1" applyFill="1" applyBorder="1" applyAlignment="1">
      <alignment horizontal="center" wrapText="1"/>
    </xf>
    <xf numFmtId="2" fontId="17" fillId="26" borderId="24" xfId="0" applyNumberFormat="1" applyFont="1" applyFill="1" applyBorder="1" applyAlignment="1">
      <alignment horizontal="center" wrapText="1"/>
    </xf>
    <xf numFmtId="2" fontId="17" fillId="26" borderId="23" xfId="0" applyNumberFormat="1" applyFont="1" applyFill="1" applyBorder="1" applyAlignment="1">
      <alignment horizontal="center" wrapText="1"/>
    </xf>
    <xf numFmtId="0" fontId="3" fillId="0" borderId="6" xfId="0" applyFont="1" applyBorder="1" applyAlignment="1">
      <alignment horizontal="left"/>
    </xf>
    <xf numFmtId="0" fontId="3" fillId="0" borderId="21" xfId="0" applyFont="1" applyBorder="1" applyAlignment="1">
      <alignment horizontal="left"/>
    </xf>
    <xf numFmtId="0" fontId="3" fillId="13" borderId="6" xfId="0" applyFont="1" applyFill="1" applyBorder="1" applyAlignment="1">
      <alignment horizontal="center" vertical="center" wrapText="1"/>
    </xf>
    <xf numFmtId="0" fontId="109" fillId="0" borderId="20" xfId="0" applyFont="1" applyBorder="1" applyAlignment="1">
      <alignment horizontal="left" vertical="center"/>
    </xf>
    <xf numFmtId="0" fontId="17" fillId="13" borderId="6" xfId="0" applyFont="1" applyFill="1" applyBorder="1" applyAlignment="1">
      <alignment horizontal="center" vertical="center" wrapText="1"/>
    </xf>
    <xf numFmtId="0" fontId="3" fillId="13" borderId="21" xfId="0" applyFont="1" applyFill="1" applyBorder="1" applyAlignment="1">
      <alignment horizontal="left" vertical="center" wrapText="1"/>
    </xf>
    <xf numFmtId="0" fontId="3" fillId="13" borderId="37"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17" fillId="13" borderId="21" xfId="0" applyFont="1" applyFill="1" applyBorder="1" applyAlignment="1">
      <alignment horizontal="left" vertical="center" wrapText="1"/>
    </xf>
    <xf numFmtId="0" fontId="17" fillId="13" borderId="37" xfId="0" applyFont="1" applyFill="1" applyBorder="1" applyAlignment="1">
      <alignment horizontal="left" vertical="center" wrapText="1"/>
    </xf>
    <xf numFmtId="0" fontId="17" fillId="13" borderId="11" xfId="0" applyFont="1" applyFill="1" applyBorder="1" applyAlignment="1">
      <alignment horizontal="left" vertical="center" wrapText="1"/>
    </xf>
    <xf numFmtId="0" fontId="17" fillId="26" borderId="6" xfId="0" applyFont="1" applyFill="1" applyBorder="1" applyAlignment="1">
      <alignment horizontal="center" vertical="center" wrapText="1"/>
    </xf>
    <xf numFmtId="0" fontId="27" fillId="26" borderId="37" xfId="0" applyFont="1" applyFill="1" applyBorder="1" applyAlignment="1">
      <alignment horizontal="center" vertical="center" wrapText="1"/>
    </xf>
    <xf numFmtId="0" fontId="17" fillId="26" borderId="36" xfId="0" applyFont="1" applyFill="1" applyBorder="1" applyAlignment="1">
      <alignment horizontal="center" vertical="center" wrapText="1"/>
    </xf>
    <xf numFmtId="0" fontId="17" fillId="26" borderId="15" xfId="0" applyFont="1" applyFill="1" applyBorder="1" applyAlignment="1">
      <alignment horizontal="center" vertical="center" wrapText="1"/>
    </xf>
    <xf numFmtId="0" fontId="38" fillId="26" borderId="36" xfId="0" applyFont="1" applyFill="1" applyBorder="1" applyAlignment="1">
      <alignment horizontal="center" vertical="center" wrapText="1"/>
    </xf>
    <xf numFmtId="0" fontId="38" fillId="26" borderId="15" xfId="0" applyFont="1" applyFill="1" applyBorder="1" applyAlignment="1">
      <alignment horizontal="center" vertical="center" wrapText="1"/>
    </xf>
    <xf numFmtId="0" fontId="38" fillId="26" borderId="0" xfId="0" applyFont="1" applyFill="1" applyAlignment="1">
      <alignment horizontal="left"/>
    </xf>
    <xf numFmtId="0" fontId="37" fillId="7" borderId="9" xfId="0" applyFont="1" applyFill="1" applyBorder="1" applyAlignment="1" applyProtection="1">
      <alignment horizontal="left" vertical="center" wrapText="1"/>
      <protection locked="0"/>
    </xf>
    <xf numFmtId="0" fontId="37" fillId="0" borderId="14" xfId="0" applyFont="1" applyBorder="1" applyAlignment="1">
      <alignment horizontal="left" vertical="center" wrapText="1"/>
    </xf>
    <xf numFmtId="0" fontId="37" fillId="11" borderId="21" xfId="0" applyFont="1" applyFill="1" applyBorder="1" applyAlignment="1" applyProtection="1">
      <alignment horizontal="center" vertical="center" wrapText="1"/>
      <protection locked="0"/>
    </xf>
    <xf numFmtId="0" fontId="37" fillId="11" borderId="37" xfId="0" applyFont="1" applyFill="1" applyBorder="1" applyAlignment="1" applyProtection="1">
      <alignment horizontal="center" vertical="center" wrapText="1"/>
      <protection locked="0"/>
    </xf>
    <xf numFmtId="0" fontId="37" fillId="11" borderId="11" xfId="0" applyFont="1" applyFill="1" applyBorder="1" applyAlignment="1" applyProtection="1">
      <alignment horizontal="center" vertical="center" wrapText="1"/>
      <protection locked="0"/>
    </xf>
    <xf numFmtId="0" fontId="3" fillId="7" borderId="0" xfId="0" applyFont="1" applyFill="1" applyAlignment="1">
      <alignment horizontal="left" wrapText="1"/>
    </xf>
    <xf numFmtId="0" fontId="37" fillId="0" borderId="12" xfId="0" applyFont="1" applyBorder="1" applyAlignment="1">
      <alignment horizontal="left" vertical="center" wrapText="1"/>
    </xf>
    <xf numFmtId="0" fontId="37" fillId="0" borderId="0" xfId="0" applyFont="1" applyAlignment="1">
      <alignment horizontal="left" vertical="top" wrapText="1"/>
    </xf>
    <xf numFmtId="0" fontId="37" fillId="0" borderId="10" xfId="0" applyFont="1" applyBorder="1" applyAlignment="1">
      <alignment horizontal="left" vertical="top" wrapText="1"/>
    </xf>
    <xf numFmtId="0" fontId="37" fillId="7" borderId="6" xfId="0" applyFont="1" applyFill="1" applyBorder="1" applyAlignment="1" applyProtection="1">
      <alignment horizontal="left" vertical="center" wrapText="1"/>
      <protection locked="0"/>
    </xf>
    <xf numFmtId="0" fontId="22" fillId="5" borderId="29"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10"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4" xfId="0" applyFont="1" applyBorder="1" applyAlignment="1">
      <alignment horizontal="center" vertical="center" wrapText="1"/>
    </xf>
    <xf numFmtId="0" fontId="3" fillId="7" borderId="22" xfId="0" applyFont="1" applyFill="1" applyBorder="1" applyAlignment="1">
      <alignment horizontal="left" vertical="center" wrapText="1"/>
    </xf>
    <xf numFmtId="0" fontId="3" fillId="7" borderId="10" xfId="0" applyFont="1" applyFill="1" applyBorder="1" applyAlignment="1">
      <alignment horizontal="left" wrapText="1"/>
    </xf>
    <xf numFmtId="0" fontId="73" fillId="0" borderId="0" xfId="0" applyFont="1" applyAlignment="1">
      <alignment horizontal="left" wrapText="1"/>
    </xf>
    <xf numFmtId="0" fontId="37" fillId="0" borderId="0" xfId="0" applyFont="1" applyAlignment="1">
      <alignment horizontal="right" vertical="center"/>
    </xf>
    <xf numFmtId="0" fontId="37" fillId="7" borderId="0" xfId="0" applyFont="1" applyFill="1" applyAlignment="1">
      <alignment horizontal="left" vertical="top" wrapText="1"/>
    </xf>
    <xf numFmtId="0" fontId="37" fillId="7" borderId="14" xfId="0" applyFont="1" applyFill="1" applyBorder="1" applyAlignment="1">
      <alignment horizontal="left" vertical="center" wrapText="1"/>
    </xf>
    <xf numFmtId="0" fontId="17" fillId="7" borderId="39" xfId="0" applyFont="1" applyFill="1" applyBorder="1" applyAlignment="1">
      <alignment horizontal="center" vertical="center" wrapText="1"/>
    </xf>
    <xf numFmtId="0" fontId="52" fillId="0" borderId="1" xfId="0" applyFont="1" applyBorder="1" applyAlignment="1">
      <alignment horizontal="right" wrapText="1"/>
    </xf>
    <xf numFmtId="0" fontId="52" fillId="0" borderId="0" xfId="0" applyFont="1" applyAlignment="1">
      <alignment horizontal="right" wrapText="1"/>
    </xf>
    <xf numFmtId="0" fontId="52" fillId="0" borderId="1" xfId="0" applyFont="1" applyBorder="1" applyAlignment="1">
      <alignment horizontal="right" vertical="center" wrapText="1"/>
    </xf>
    <xf numFmtId="0" fontId="52" fillId="0" borderId="0" xfId="0" applyFont="1" applyAlignment="1">
      <alignment horizontal="right" vertical="center" wrapText="1"/>
    </xf>
    <xf numFmtId="0" fontId="3" fillId="0" borderId="0" xfId="0" applyFont="1" applyAlignment="1">
      <alignment horizontal="left" vertical="center"/>
    </xf>
    <xf numFmtId="0" fontId="3" fillId="0" borderId="10" xfId="0" applyFont="1" applyBorder="1" applyAlignment="1">
      <alignment horizontal="left" vertical="center"/>
    </xf>
    <xf numFmtId="0" fontId="52" fillId="0" borderId="1" xfId="0" applyFont="1" applyBorder="1" applyAlignment="1">
      <alignment horizontal="right"/>
    </xf>
    <xf numFmtId="0" fontId="52" fillId="0" borderId="0" xfId="0" applyFont="1" applyAlignment="1">
      <alignment horizontal="right"/>
    </xf>
    <xf numFmtId="0" fontId="65" fillId="26" borderId="38" xfId="0" applyFont="1" applyFill="1" applyBorder="1" applyAlignment="1">
      <alignment horizontal="center" vertical="center" wrapText="1"/>
    </xf>
    <xf numFmtId="0" fontId="65" fillId="26" borderId="29" xfId="0" applyFont="1" applyFill="1" applyBorder="1" applyAlignment="1">
      <alignment horizontal="center" vertical="center" wrapText="1"/>
    </xf>
    <xf numFmtId="0" fontId="64" fillId="26" borderId="42" xfId="0" applyFont="1" applyFill="1" applyBorder="1" applyAlignment="1">
      <alignment horizontal="center" vertical="center" wrapText="1"/>
    </xf>
    <xf numFmtId="0" fontId="64" fillId="26" borderId="13" xfId="0" applyFont="1" applyFill="1" applyBorder="1" applyAlignment="1">
      <alignment horizontal="center" vertical="center" wrapText="1"/>
    </xf>
    <xf numFmtId="0" fontId="65" fillId="26" borderId="42" xfId="0" applyFont="1" applyFill="1" applyBorder="1" applyAlignment="1">
      <alignment horizontal="center" vertical="center" wrapText="1"/>
    </xf>
    <xf numFmtId="0" fontId="65" fillId="26" borderId="13" xfId="0" applyFont="1" applyFill="1" applyBorder="1" applyAlignment="1">
      <alignment horizontal="center" vertical="center" wrapText="1"/>
    </xf>
    <xf numFmtId="0" fontId="62" fillId="0" borderId="1" xfId="0" applyFont="1" applyBorder="1" applyAlignment="1">
      <alignment horizontal="right" wrapText="1"/>
    </xf>
    <xf numFmtId="0" fontId="62" fillId="0" borderId="0" xfId="0" applyFont="1" applyAlignment="1">
      <alignment horizontal="right" wrapText="1"/>
    </xf>
    <xf numFmtId="0" fontId="62" fillId="21" borderId="1" xfId="0" applyFont="1" applyFill="1" applyBorder="1" applyAlignment="1">
      <alignment horizontal="right" vertical="center" wrapText="1"/>
    </xf>
    <xf numFmtId="0" fontId="62" fillId="21" borderId="0" xfId="0" applyFont="1" applyFill="1" applyAlignment="1">
      <alignment horizontal="right" vertical="center" wrapText="1"/>
    </xf>
    <xf numFmtId="0" fontId="62" fillId="13" borderId="1" xfId="0" applyFont="1" applyFill="1" applyBorder="1" applyAlignment="1">
      <alignment horizontal="right" vertical="center" wrapText="1"/>
    </xf>
    <xf numFmtId="0" fontId="62" fillId="13" borderId="0" xfId="0" applyFont="1" applyFill="1" applyAlignment="1">
      <alignment horizontal="right" vertical="center" wrapText="1"/>
    </xf>
    <xf numFmtId="164" fontId="27" fillId="26" borderId="50" xfId="0" applyNumberFormat="1" applyFont="1" applyFill="1" applyBorder="1" applyAlignment="1">
      <alignment horizontal="center" vertical="center"/>
    </xf>
    <xf numFmtId="164" fontId="27" fillId="26" borderId="21" xfId="0" applyNumberFormat="1" applyFont="1" applyFill="1" applyBorder="1" applyAlignment="1">
      <alignment horizontal="center" vertical="center"/>
    </xf>
    <xf numFmtId="164" fontId="27" fillId="26" borderId="20" xfId="0" applyNumberFormat="1" applyFont="1" applyFill="1" applyBorder="1" applyAlignment="1">
      <alignment horizontal="center" vertical="center"/>
    </xf>
    <xf numFmtId="164" fontId="22" fillId="26" borderId="5" xfId="0" applyNumberFormat="1" applyFont="1" applyFill="1" applyBorder="1" applyAlignment="1">
      <alignment horizontal="center" vertical="center"/>
    </xf>
    <xf numFmtId="0" fontId="17" fillId="5" borderId="43" xfId="0" applyFont="1" applyFill="1" applyBorder="1" applyAlignment="1">
      <alignment horizontal="left" vertical="center"/>
    </xf>
    <xf numFmtId="0" fontId="17" fillId="5" borderId="29" xfId="0" applyFont="1" applyFill="1" applyBorder="1" applyAlignment="1">
      <alignment horizontal="left" vertical="center"/>
    </xf>
    <xf numFmtId="164" fontId="27" fillId="26" borderId="10" xfId="0" applyNumberFormat="1" applyFont="1" applyFill="1" applyBorder="1" applyAlignment="1">
      <alignment horizontal="center"/>
    </xf>
    <xf numFmtId="164" fontId="27" fillId="26" borderId="17" xfId="0" applyNumberFormat="1" applyFont="1" applyFill="1" applyBorder="1" applyAlignment="1">
      <alignment horizontal="center"/>
    </xf>
    <xf numFmtId="0" fontId="17" fillId="26" borderId="20" xfId="0" applyFont="1" applyFill="1" applyBorder="1" applyAlignment="1">
      <alignment horizontal="center"/>
    </xf>
    <xf numFmtId="0" fontId="17" fillId="26" borderId="49" xfId="0" applyFont="1" applyFill="1" applyBorder="1" applyAlignment="1">
      <alignment horizontal="center" vertical="center"/>
    </xf>
    <xf numFmtId="0" fontId="17" fillId="26" borderId="16" xfId="0" applyFont="1" applyFill="1" applyBorder="1" applyAlignment="1">
      <alignment horizontal="center" vertical="center"/>
    </xf>
    <xf numFmtId="0" fontId="17" fillId="26" borderId="58" xfId="0" applyFont="1" applyFill="1" applyBorder="1" applyAlignment="1">
      <alignment horizontal="center" vertical="center"/>
    </xf>
    <xf numFmtId="0" fontId="17" fillId="26" borderId="33" xfId="0" applyFont="1" applyFill="1" applyBorder="1" applyAlignment="1">
      <alignment horizontal="center" vertical="center"/>
    </xf>
    <xf numFmtId="0" fontId="17" fillId="26" borderId="59" xfId="0" applyFont="1" applyFill="1" applyBorder="1" applyAlignment="1">
      <alignment horizontal="center" vertical="center"/>
    </xf>
    <xf numFmtId="0" fontId="17" fillId="26" borderId="27" xfId="0" applyFont="1" applyFill="1" applyBorder="1" applyAlignment="1">
      <alignment horizontal="center" vertical="center" wrapText="1"/>
    </xf>
    <xf numFmtId="0" fontId="17" fillId="26" borderId="17" xfId="0" applyFont="1" applyFill="1" applyBorder="1" applyAlignment="1">
      <alignment horizontal="center" vertical="center" wrapText="1"/>
    </xf>
    <xf numFmtId="0" fontId="17" fillId="26" borderId="0" xfId="0" applyFont="1" applyFill="1" applyAlignment="1">
      <alignment horizontal="center" vertical="center"/>
    </xf>
    <xf numFmtId="0" fontId="17" fillId="26" borderId="1" xfId="0" applyFont="1" applyFill="1" applyBorder="1" applyAlignment="1">
      <alignment horizontal="center" vertical="center"/>
    </xf>
    <xf numFmtId="0" fontId="17" fillId="26" borderId="17" xfId="0" applyFont="1" applyFill="1" applyBorder="1" applyAlignment="1">
      <alignment horizontal="center" vertical="center"/>
    </xf>
    <xf numFmtId="0" fontId="17" fillId="26" borderId="0" xfId="0" applyFont="1" applyFill="1" applyAlignment="1">
      <alignment horizontal="center" vertical="center" wrapText="1"/>
    </xf>
    <xf numFmtId="0" fontId="17" fillId="26" borderId="16" xfId="0" applyFont="1" applyFill="1" applyBorder="1" applyAlignment="1">
      <alignment horizontal="center" vertical="center" wrapText="1"/>
    </xf>
    <xf numFmtId="164" fontId="22" fillId="5" borderId="20" xfId="0" applyNumberFormat="1" applyFont="1" applyFill="1" applyBorder="1" applyAlignment="1">
      <alignment horizontal="left"/>
    </xf>
    <xf numFmtId="0" fontId="17" fillId="26" borderId="21" xfId="0" applyFont="1" applyFill="1" applyBorder="1" applyAlignment="1">
      <alignment horizontal="right"/>
    </xf>
    <xf numFmtId="0" fontId="17" fillId="26" borderId="37" xfId="0" applyFont="1" applyFill="1" applyBorder="1" applyAlignment="1">
      <alignment horizontal="right"/>
    </xf>
    <xf numFmtId="9" fontId="118" fillId="26" borderId="9" xfId="6" applyFont="1" applyFill="1" applyBorder="1" applyAlignment="1">
      <alignment horizontal="center"/>
    </xf>
    <xf numFmtId="9" fontId="118" fillId="26" borderId="11" xfId="6" applyFont="1" applyFill="1" applyBorder="1" applyAlignment="1">
      <alignment horizontal="center"/>
    </xf>
    <xf numFmtId="9" fontId="118" fillId="26" borderId="6" xfId="6" applyFont="1" applyFill="1" applyBorder="1" applyAlignment="1">
      <alignment horizontal="center"/>
    </xf>
    <xf numFmtId="9" fontId="38" fillId="26" borderId="9" xfId="6" applyFont="1" applyFill="1" applyBorder="1" applyAlignment="1">
      <alignment horizontal="center"/>
    </xf>
    <xf numFmtId="9" fontId="38" fillId="26" borderId="6" xfId="6" applyFont="1" applyFill="1" applyBorder="1" applyAlignment="1">
      <alignment horizontal="center"/>
    </xf>
    <xf numFmtId="0" fontId="17" fillId="26" borderId="24" xfId="0" applyFont="1" applyFill="1" applyBorder="1" applyAlignment="1">
      <alignment horizontal="center"/>
    </xf>
    <xf numFmtId="0" fontId="17" fillId="26" borderId="37" xfId="0" applyFont="1" applyFill="1" applyBorder="1" applyAlignment="1">
      <alignment horizontal="center"/>
    </xf>
    <xf numFmtId="0" fontId="17" fillId="26" borderId="11" xfId="0" applyFont="1" applyFill="1" applyBorder="1" applyAlignment="1">
      <alignment horizontal="center"/>
    </xf>
    <xf numFmtId="0" fontId="3" fillId="5" borderId="21" xfId="0" applyFont="1" applyFill="1" applyBorder="1" applyAlignment="1">
      <alignment horizontal="center"/>
    </xf>
    <xf numFmtId="0" fontId="3" fillId="5" borderId="37" xfId="0" applyFont="1" applyFill="1" applyBorder="1" applyAlignment="1">
      <alignment horizontal="center"/>
    </xf>
    <xf numFmtId="0" fontId="3" fillId="5" borderId="11" xfId="0" applyFont="1" applyFill="1" applyBorder="1" applyAlignment="1">
      <alignment horizontal="center"/>
    </xf>
    <xf numFmtId="0" fontId="17" fillId="26" borderId="21" xfId="0" applyFont="1" applyFill="1" applyBorder="1" applyAlignment="1">
      <alignment horizontal="center"/>
    </xf>
    <xf numFmtId="0" fontId="3" fillId="3" borderId="2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20" xfId="0" applyFont="1" applyFill="1" applyBorder="1" applyAlignment="1">
      <alignment horizontal="left" vertical="center" wrapText="1"/>
    </xf>
    <xf numFmtId="0" fontId="27" fillId="5" borderId="37" xfId="0" applyFont="1" applyFill="1" applyBorder="1" applyAlignment="1">
      <alignment horizontal="center" vertical="center"/>
    </xf>
    <xf numFmtId="0" fontId="27" fillId="5" borderId="11" xfId="0" applyFont="1" applyFill="1" applyBorder="1" applyAlignment="1">
      <alignment horizontal="center" vertical="center"/>
    </xf>
    <xf numFmtId="0" fontId="17" fillId="3" borderId="37" xfId="0" applyFont="1" applyFill="1" applyBorder="1" applyAlignment="1">
      <alignment horizontal="center"/>
    </xf>
    <xf numFmtId="0" fontId="17" fillId="3" borderId="20" xfId="0" applyFont="1" applyFill="1" applyBorder="1" applyAlignment="1">
      <alignment horizontal="center"/>
    </xf>
    <xf numFmtId="0" fontId="34" fillId="0" borderId="0" xfId="0" applyFont="1"/>
    <xf numFmtId="0" fontId="21" fillId="7" borderId="0" xfId="0" applyFont="1" applyFill="1"/>
    <xf numFmtId="0" fontId="38" fillId="26" borderId="9" xfId="0" applyFont="1" applyFill="1" applyBorder="1" applyAlignment="1">
      <alignment horizontal="center" vertical="center" wrapText="1"/>
    </xf>
    <xf numFmtId="0" fontId="38" fillId="26" borderId="6" xfId="0" applyFont="1" applyFill="1" applyBorder="1" applyAlignment="1">
      <alignment horizontal="center" vertical="center" wrapText="1"/>
    </xf>
    <xf numFmtId="0" fontId="38" fillId="26" borderId="14" xfId="0" applyFont="1" applyFill="1" applyBorder="1" applyAlignment="1">
      <alignment horizontal="center" vertical="center" wrapText="1"/>
    </xf>
    <xf numFmtId="0" fontId="38" fillId="26" borderId="5" xfId="0" applyFont="1" applyFill="1" applyBorder="1" applyAlignment="1">
      <alignment horizontal="center" vertical="center" wrapText="1"/>
    </xf>
    <xf numFmtId="0" fontId="108" fillId="0" borderId="21" xfId="0" applyFont="1" applyBorder="1" applyAlignment="1" applyProtection="1">
      <alignment horizontal="center" vertical="center"/>
      <protection locked="0"/>
    </xf>
    <xf numFmtId="0" fontId="108" fillId="0" borderId="50" xfId="0" applyFont="1" applyBorder="1" applyAlignment="1" applyProtection="1">
      <alignment horizontal="center" vertical="center"/>
      <protection locked="0"/>
    </xf>
    <xf numFmtId="0" fontId="17" fillId="26" borderId="21" xfId="0" applyFont="1" applyFill="1" applyBorder="1" applyAlignment="1">
      <alignment horizontal="left" vertical="center"/>
    </xf>
    <xf numFmtId="0" fontId="17" fillId="26" borderId="37" xfId="0" applyFont="1" applyFill="1" applyBorder="1" applyAlignment="1">
      <alignment horizontal="left" vertical="center"/>
    </xf>
    <xf numFmtId="0" fontId="17" fillId="26" borderId="11" xfId="0" applyFont="1" applyFill="1" applyBorder="1" applyAlignment="1">
      <alignment horizontal="left" vertical="center"/>
    </xf>
    <xf numFmtId="0" fontId="108" fillId="0" borderId="37" xfId="0" applyFont="1" applyBorder="1" applyAlignment="1" applyProtection="1">
      <alignment horizontal="center" vertical="center"/>
      <protection locked="0"/>
    </xf>
    <xf numFmtId="177" fontId="3" fillId="0" borderId="43" xfId="2" applyNumberFormat="1" applyBorder="1" applyAlignment="1" applyProtection="1">
      <alignment horizontal="center"/>
      <protection locked="0"/>
    </xf>
    <xf numFmtId="0" fontId="3" fillId="0" borderId="0" xfId="2" applyAlignment="1">
      <alignment horizontal="right"/>
    </xf>
    <xf numFmtId="177" fontId="3" fillId="0" borderId="16" xfId="2" applyNumberFormat="1" applyBorder="1" applyAlignment="1" applyProtection="1">
      <alignment horizontal="center"/>
      <protection locked="0"/>
    </xf>
    <xf numFmtId="0" fontId="39" fillId="26" borderId="0" xfId="2" applyFont="1" applyFill="1" applyAlignment="1">
      <alignment horizontal="center"/>
    </xf>
    <xf numFmtId="0" fontId="3" fillId="0" borderId="16" xfId="2" applyBorder="1" applyAlignment="1" applyProtection="1">
      <alignment horizontal="center"/>
      <protection locked="0"/>
    </xf>
    <xf numFmtId="0" fontId="3" fillId="0" borderId="43" xfId="2" applyBorder="1" applyAlignment="1" applyProtection="1">
      <alignment horizontal="left"/>
      <protection locked="0"/>
    </xf>
    <xf numFmtId="0" fontId="3" fillId="0" borderId="43" xfId="2" applyBorder="1" applyAlignment="1" applyProtection="1">
      <alignment horizontal="center"/>
      <protection locked="0"/>
    </xf>
    <xf numFmtId="0" fontId="36" fillId="0" borderId="43" xfId="2" applyFont="1" applyBorder="1" applyAlignment="1" applyProtection="1">
      <alignment horizontal="center" wrapText="1"/>
      <protection locked="0"/>
    </xf>
    <xf numFmtId="1" fontId="17" fillId="17" borderId="43" xfId="2" applyNumberFormat="1" applyFont="1" applyFill="1" applyBorder="1" applyAlignment="1">
      <alignment horizontal="center"/>
    </xf>
    <xf numFmtId="177" fontId="3" fillId="0" borderId="43" xfId="2" applyNumberFormat="1" applyBorder="1" applyProtection="1">
      <protection locked="0"/>
    </xf>
    <xf numFmtId="0" fontId="3" fillId="0" borderId="43" xfId="2" applyBorder="1" applyProtection="1">
      <protection locked="0"/>
    </xf>
    <xf numFmtId="0" fontId="3" fillId="0" borderId="16" xfId="2" applyBorder="1" applyProtection="1">
      <protection locked="0"/>
    </xf>
    <xf numFmtId="0" fontId="39" fillId="26" borderId="0" xfId="2" applyFont="1" applyFill="1" applyAlignment="1">
      <alignment horizontal="left"/>
    </xf>
    <xf numFmtId="0" fontId="3" fillId="26" borderId="0" xfId="2" applyFill="1"/>
    <xf numFmtId="0" fontId="17" fillId="0" borderId="0" xfId="2" applyFont="1" applyAlignment="1">
      <alignment horizontal="left"/>
    </xf>
    <xf numFmtId="0" fontId="3" fillId="0" borderId="0" xfId="2" applyAlignment="1">
      <alignment horizontal="left"/>
    </xf>
    <xf numFmtId="0" fontId="3" fillId="0" borderId="0" xfId="2"/>
    <xf numFmtId="0" fontId="17" fillId="0" borderId="0" xfId="2" applyFont="1"/>
    <xf numFmtId="0" fontId="3" fillId="26" borderId="6" xfId="2" applyFill="1" applyBorder="1"/>
    <xf numFmtId="0" fontId="23" fillId="0" borderId="0" xfId="2" applyFont="1" applyAlignment="1">
      <alignment horizontal="center"/>
    </xf>
    <xf numFmtId="1" fontId="17" fillId="17" borderId="16" xfId="2" applyNumberFormat="1" applyFont="1" applyFill="1" applyBorder="1" applyAlignment="1">
      <alignment horizontal="center"/>
    </xf>
    <xf numFmtId="0" fontId="29" fillId="0" borderId="0" xfId="2" applyFont="1" applyAlignment="1">
      <alignment horizontal="center"/>
    </xf>
    <xf numFmtId="0" fontId="15" fillId="0" borderId="0" xfId="2" applyFont="1" applyAlignment="1">
      <alignment horizontal="center"/>
    </xf>
    <xf numFmtId="0" fontId="17" fillId="0" borderId="0" xfId="2" applyFont="1" applyAlignment="1">
      <alignment horizontal="center" vertical="top"/>
    </xf>
    <xf numFmtId="0" fontId="43" fillId="0" borderId="0" xfId="2" applyFont="1"/>
    <xf numFmtId="0" fontId="44" fillId="0" borderId="0" xfId="2" applyFont="1"/>
    <xf numFmtId="0" fontId="41" fillId="0" borderId="0" xfId="2" applyFont="1"/>
    <xf numFmtId="0" fontId="27" fillId="0" borderId="0" xfId="2" applyFont="1" applyAlignment="1">
      <alignment horizontal="left"/>
    </xf>
    <xf numFmtId="0" fontId="37" fillId="0" borderId="0" xfId="2" applyFont="1"/>
    <xf numFmtId="3" fontId="3" fillId="0" borderId="16" xfId="5" applyNumberFormat="1" applyFont="1" applyBorder="1" applyAlignment="1" applyProtection="1">
      <protection locked="0"/>
    </xf>
    <xf numFmtId="9" fontId="37" fillId="0" borderId="15" xfId="0" applyNumberFormat="1" applyFont="1" applyFill="1" applyBorder="1" applyAlignment="1">
      <alignment horizontal="center" vertical="center" wrapText="1"/>
    </xf>
    <xf numFmtId="0" fontId="79" fillId="0" borderId="0" xfId="0" applyFont="1" applyAlignment="1">
      <alignment wrapText="1"/>
    </xf>
    <xf numFmtId="0" fontId="36" fillId="11" borderId="117" xfId="0" applyFont="1" applyFill="1" applyBorder="1" applyAlignment="1">
      <alignment horizontal="left" vertical="center" wrapText="1"/>
    </xf>
    <xf numFmtId="0" fontId="36" fillId="11" borderId="112" xfId="0" applyFont="1" applyFill="1" applyBorder="1" applyAlignment="1">
      <alignment horizontal="left" vertical="center" wrapText="1"/>
    </xf>
    <xf numFmtId="0" fontId="36" fillId="11" borderId="111" xfId="0" applyFont="1" applyFill="1" applyBorder="1" applyAlignment="1">
      <alignment horizontal="left" vertical="center" wrapText="1"/>
    </xf>
    <xf numFmtId="3" fontId="3" fillId="0" borderId="6" xfId="0" applyNumberFormat="1" applyFont="1" applyBorder="1" applyAlignment="1" applyProtection="1">
      <alignment horizontal="center" vertical="center"/>
      <protection locked="0"/>
    </xf>
    <xf numFmtId="3" fontId="3" fillId="0" borderId="15" xfId="0" applyNumberFormat="1" applyFont="1" applyBorder="1" applyAlignment="1" applyProtection="1">
      <alignment horizontal="center" vertical="center"/>
      <protection locked="0"/>
    </xf>
    <xf numFmtId="3" fontId="3" fillId="0" borderId="9" xfId="0" applyNumberFormat="1" applyFont="1" applyFill="1" applyBorder="1" applyAlignment="1" applyProtection="1">
      <alignment horizontal="center" vertical="center"/>
      <protection locked="0"/>
    </xf>
    <xf numFmtId="0" fontId="36" fillId="26" borderId="0" xfId="0" applyFont="1" applyFill="1" applyAlignment="1">
      <alignment horizontal="right"/>
    </xf>
    <xf numFmtId="164" fontId="135" fillId="13" borderId="36" xfId="4" applyNumberFormat="1" applyFont="1" applyFill="1" applyBorder="1" applyAlignment="1" applyProtection="1">
      <alignment horizontal="center" vertical="center" wrapText="1"/>
      <protection locked="0"/>
    </xf>
    <xf numFmtId="164" fontId="135" fillId="13" borderId="9" xfId="4" applyNumberFormat="1" applyFont="1" applyFill="1" applyBorder="1" applyAlignment="1" applyProtection="1">
      <alignment horizontal="center" vertical="center" wrapText="1"/>
      <protection locked="0"/>
    </xf>
  </cellXfs>
  <cellStyles count="11">
    <cellStyle name="Comma" xfId="5" builtinId="3"/>
    <cellStyle name="Comma 2" xfId="8" xr:uid="{00000000-0005-0000-0000-000001000000}"/>
    <cellStyle name="Hyperlink" xfId="4" builtinId="8"/>
    <cellStyle name="Normal" xfId="0" builtinId="0"/>
    <cellStyle name="Normal 2" xfId="1" xr:uid="{00000000-0005-0000-0000-000004000000}"/>
    <cellStyle name="Normal 2 2" xfId="2" xr:uid="{00000000-0005-0000-0000-000005000000}"/>
    <cellStyle name="Normal 2 3" xfId="7" xr:uid="{00000000-0005-0000-0000-000006000000}"/>
    <cellStyle name="Normal 2 4" xfId="10" xr:uid="{00000000-0005-0000-0000-000007000000}"/>
    <cellStyle name="Normal_MORExcelA" xfId="3" xr:uid="{00000000-0005-0000-0000-000008000000}"/>
    <cellStyle name="Percent" xfId="6" builtinId="5"/>
    <cellStyle name="Percent 2" xfId="9" xr:uid="{00000000-0005-0000-0000-00000A000000}"/>
  </cellStyles>
  <dxfs count="86">
    <dxf>
      <font>
        <b/>
        <i val="0"/>
        <color rgb="FFFF0000"/>
      </font>
    </dxf>
    <dxf>
      <font>
        <b/>
        <i val="0"/>
        <color rgb="FFFF0000"/>
      </font>
    </dxf>
    <dxf>
      <font>
        <b/>
        <i val="0"/>
        <color rgb="FFFF0000"/>
      </font>
      <fill>
        <patternFill patternType="none">
          <bgColor auto="1"/>
        </patternFill>
      </fill>
    </dxf>
    <dxf>
      <fill>
        <patternFill>
          <bgColor rgb="FFFFFF99"/>
        </patternFill>
      </fill>
    </dxf>
    <dxf>
      <fill>
        <patternFill>
          <bgColor rgb="FFD8E4BC"/>
        </patternFill>
      </fill>
    </dxf>
    <dxf>
      <fill>
        <patternFill>
          <bgColor rgb="FFFF0000"/>
        </patternFill>
      </fill>
    </dxf>
    <dxf>
      <fill>
        <patternFill>
          <bgColor rgb="FFFFFF99"/>
        </patternFill>
      </fill>
    </dxf>
    <dxf>
      <fill>
        <patternFill>
          <bgColor rgb="FFD8E4BC"/>
        </patternFill>
      </fill>
    </dxf>
    <dxf>
      <fill>
        <patternFill>
          <bgColor rgb="FFFF0000"/>
        </patternFill>
      </fill>
    </dxf>
    <dxf>
      <font>
        <color rgb="FFF2F2F2"/>
      </font>
      <fill>
        <patternFill>
          <bgColor rgb="FFF2F2F2"/>
        </patternFill>
      </fill>
    </dxf>
    <dxf>
      <fill>
        <patternFill>
          <bgColor theme="7" tint="0.39994506668294322"/>
        </patternFill>
      </fill>
    </dxf>
    <dxf>
      <font>
        <color theme="0" tint="-4.9989318521683403E-2"/>
      </font>
      <fill>
        <patternFill>
          <bgColor theme="0" tint="-4.9989318521683403E-2"/>
        </patternFill>
      </fill>
    </dxf>
    <dxf>
      <font>
        <color rgb="FFF2F2F2"/>
      </font>
      <fill>
        <patternFill>
          <bgColor rgb="FFF2F2F2"/>
        </patternFill>
      </fill>
    </dxf>
    <dxf>
      <fill>
        <patternFill>
          <bgColor theme="7" tint="0.39994506668294322"/>
        </patternFill>
      </fill>
    </dxf>
    <dxf>
      <font>
        <color theme="0" tint="-4.9989318521683403E-2"/>
      </font>
      <fill>
        <patternFill>
          <bgColor rgb="FFF2F2F2"/>
        </patternFill>
      </fill>
    </dxf>
    <dxf>
      <font>
        <color rgb="FFF2F2F2"/>
      </font>
      <fill>
        <patternFill patternType="solid">
          <bgColor rgb="FFF2F2F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rgb="FF00B0F0"/>
        </patternFill>
      </fill>
    </dxf>
    <dxf>
      <fill>
        <patternFill>
          <bgColor rgb="FFD8E4BC"/>
        </patternFill>
      </fill>
    </dxf>
    <dxf>
      <fill>
        <patternFill>
          <bgColor theme="7" tint="0.39994506668294322"/>
        </patternFill>
      </fill>
    </dxf>
    <dxf>
      <fill>
        <patternFill>
          <bgColor rgb="FF00B0F0"/>
        </patternFill>
      </fill>
    </dxf>
    <dxf>
      <fill>
        <patternFill>
          <bgColor theme="6" tint="0.39994506668294322"/>
        </patternFill>
      </fill>
    </dxf>
    <dxf>
      <fill>
        <patternFill>
          <bgColor theme="7" tint="0.39994506668294322"/>
        </patternFill>
      </fill>
    </dxf>
    <dxf>
      <font>
        <color rgb="FFF2F2F2"/>
      </font>
      <fill>
        <patternFill>
          <bgColor rgb="FFF2F2F2"/>
        </patternFill>
      </fill>
    </dxf>
    <dxf>
      <font>
        <color theme="0" tint="-4.9989318521683403E-2"/>
      </font>
      <fill>
        <patternFill>
          <bgColor theme="0" tint="-4.9989318521683403E-2"/>
        </patternFill>
      </fill>
    </dxf>
    <dxf>
      <font>
        <color rgb="FFF2F2F2"/>
      </font>
      <fill>
        <patternFill>
          <bgColor rgb="FFF2F2F2"/>
        </patternFill>
      </fill>
    </dxf>
    <dxf>
      <font>
        <color rgb="FFF2F2F2"/>
      </font>
      <fill>
        <patternFill>
          <bgColor rgb="FFF2F2F2"/>
        </patternFill>
      </fill>
    </dxf>
    <dxf>
      <font>
        <b/>
        <i val="0"/>
        <color rgb="FFFF0000"/>
      </font>
    </dxf>
    <dxf>
      <font>
        <b/>
        <i val="0"/>
        <color rgb="FFFF0000"/>
      </font>
    </dxf>
    <dxf>
      <font>
        <b/>
        <i val="0"/>
        <color rgb="FFFF0000"/>
      </font>
    </dxf>
    <dxf>
      <font>
        <b/>
        <i val="0"/>
        <color rgb="FFFF0000"/>
      </font>
    </dxf>
    <dxf>
      <fill>
        <patternFill>
          <bgColor rgb="FFFF0000"/>
        </patternFill>
      </fill>
    </dxf>
    <dxf>
      <font>
        <color theme="0"/>
      </font>
    </dxf>
    <dxf>
      <font>
        <color theme="0"/>
      </font>
    </dxf>
    <dxf>
      <font>
        <color rgb="FF9C0006"/>
      </font>
    </dxf>
    <dxf>
      <font>
        <color theme="0"/>
      </font>
    </dxf>
    <dxf>
      <font>
        <color rgb="FFFF0000"/>
      </font>
    </dxf>
    <dxf>
      <font>
        <b val="0"/>
        <i val="0"/>
        <color rgb="FFC00000"/>
      </font>
      <fill>
        <patternFill patternType="none">
          <bgColor auto="1"/>
        </patternFill>
      </fill>
    </dxf>
    <dxf>
      <fill>
        <patternFill>
          <bgColor theme="5" tint="0.59996337778862885"/>
        </patternFill>
      </fill>
    </dxf>
    <dxf>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border>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9C0006"/>
      </font>
    </dxf>
    <dxf>
      <font>
        <b val="0"/>
        <i val="0"/>
        <color rgb="FFD94EF0"/>
      </font>
    </dxf>
    <dxf>
      <font>
        <b/>
        <i val="0"/>
        <color rgb="FF9C0006"/>
      </font>
    </dxf>
    <dxf>
      <font>
        <color rgb="FF9C0006"/>
      </font>
      <fill>
        <patternFill>
          <bgColor rgb="FFFFC7CE"/>
        </patternFill>
      </fill>
    </dxf>
    <dxf>
      <font>
        <b/>
        <i val="0"/>
        <color rgb="FFFF0000"/>
      </font>
      <fill>
        <patternFill patternType="none">
          <bgColor indexed="65"/>
        </patternFill>
      </fill>
    </dxf>
    <dxf>
      <font>
        <color rgb="FF006100"/>
      </font>
      <fill>
        <patternFill patternType="none">
          <bgColor indexed="65"/>
        </patternFill>
      </fill>
    </dxf>
    <dxf>
      <font>
        <color theme="9" tint="-0.24994659260841701"/>
      </font>
      <fill>
        <patternFill patternType="none">
          <bgColor indexed="65"/>
        </patternFill>
      </fill>
    </dxf>
    <dxf>
      <font>
        <color rgb="FFFF0000"/>
      </font>
    </dxf>
    <dxf>
      <font>
        <color rgb="FFFF0000"/>
      </font>
    </dxf>
    <dxf>
      <font>
        <color rgb="FFFF0000"/>
      </font>
    </dxf>
    <dxf>
      <font>
        <b/>
        <i val="0"/>
        <color rgb="FFFF0000"/>
      </font>
    </dxf>
    <dxf>
      <font>
        <color rgb="FFFF0000"/>
      </font>
    </dxf>
    <dxf>
      <font>
        <color rgb="FF9C0006"/>
      </font>
    </dxf>
    <dxf>
      <font>
        <color rgb="FF9C0006"/>
      </font>
    </dxf>
  </dxfs>
  <tableStyles count="0" defaultTableStyle="TableStyleMedium9" defaultPivotStyle="PivotStyleLight16"/>
  <colors>
    <mruColors>
      <color rgb="FFE8F5F8"/>
      <color rgb="FF99CC00"/>
      <color rgb="FFE0E0E0"/>
      <color rgb="FFFFFFCC"/>
      <color rgb="FFD8E4BC"/>
      <color rgb="FFF0F8FA"/>
      <color rgb="FFEBF6F9"/>
      <color rgb="FF1119AF"/>
      <color rgb="FFFFFF99"/>
      <color rgb="FFD94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22/10/relationships/richValueRel" Target="richData/richValueRel.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eetMetadata" Target="metadata.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microsoft.com/office/2017/06/relationships/rdRichValueStructure" Target="richData/rdrichvaluestructure.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microsoft.com/office/2017/06/relationships/rdRichValue" Target="richData/rdrichvalue.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10</xdr:col>
      <xdr:colOff>451015</xdr:colOff>
      <xdr:row>41</xdr:row>
      <xdr:rowOff>217647</xdr:rowOff>
    </xdr:from>
    <xdr:to>
      <xdr:col>21</xdr:col>
      <xdr:colOff>401477</xdr:colOff>
      <xdr:row>62</xdr:row>
      <xdr:rowOff>76200</xdr:rowOff>
    </xdr:to>
    <xdr:pic>
      <xdr:nvPicPr>
        <xdr:cNvPr id="3" name="Picture 6">
          <a:extLst>
            <a:ext uri="{FF2B5EF4-FFF2-40B4-BE49-F238E27FC236}">
              <a16:creationId xmlns:a16="http://schemas.microsoft.com/office/drawing/2014/main" id="{00000000-0008-0000-0C00-000002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3796" y="13850303"/>
          <a:ext cx="8312937" cy="36209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465471</xdr:colOff>
      <xdr:row>62</xdr:row>
      <xdr:rowOff>134462</xdr:rowOff>
    </xdr:from>
    <xdr:to>
      <xdr:col>21</xdr:col>
      <xdr:colOff>392601</xdr:colOff>
      <xdr:row>76</xdr:row>
      <xdr:rowOff>93822</xdr:rowOff>
    </xdr:to>
    <xdr:pic>
      <xdr:nvPicPr>
        <xdr:cNvPr id="4" name="Picture 9">
          <a:extLst>
            <a:ext uri="{FF2B5EF4-FFF2-40B4-BE49-F238E27FC236}">
              <a16:creationId xmlns:a16="http://schemas.microsoft.com/office/drawing/2014/main" id="{00000000-0008-0000-0C00-0000038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8252" y="17529493"/>
          <a:ext cx="8285795" cy="2304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472615</xdr:colOff>
      <xdr:row>76</xdr:row>
      <xdr:rowOff>159385</xdr:rowOff>
    </xdr:from>
    <xdr:to>
      <xdr:col>21</xdr:col>
      <xdr:colOff>401810</xdr:colOff>
      <xdr:row>83</xdr:row>
      <xdr:rowOff>55246</xdr:rowOff>
    </xdr:to>
    <xdr:pic>
      <xdr:nvPicPr>
        <xdr:cNvPr id="5" name="Picture 11">
          <a:extLst>
            <a:ext uri="{FF2B5EF4-FFF2-40B4-BE49-F238E27FC236}">
              <a16:creationId xmlns:a16="http://schemas.microsoft.com/office/drawing/2014/main" id="{00000000-0008-0000-0C00-0000048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85396" y="19888041"/>
          <a:ext cx="8291670" cy="1077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35719</xdr:colOff>
      <xdr:row>41</xdr:row>
      <xdr:rowOff>198597</xdr:rowOff>
    </xdr:from>
    <xdr:to>
      <xdr:col>10</xdr:col>
      <xdr:colOff>230573</xdr:colOff>
      <xdr:row>78</xdr:row>
      <xdr:rowOff>39450</xdr:rowOff>
    </xdr:to>
    <xdr:pic>
      <xdr:nvPicPr>
        <xdr:cNvPr id="6" name="Picture 5">
          <a:extLst>
            <a:ext uri="{FF2B5EF4-FFF2-40B4-BE49-F238E27FC236}">
              <a16:creationId xmlns:a16="http://schemas.microsoft.com/office/drawing/2014/main" id="{2B81FA78-913E-8F7B-0CBC-E3F58B0DD1A2}"/>
            </a:ext>
          </a:extLst>
        </xdr:cNvPr>
        <xdr:cNvPicPr>
          <a:picLocks noChangeAspect="1"/>
        </xdr:cNvPicPr>
      </xdr:nvPicPr>
      <xdr:blipFill>
        <a:blip xmlns:r="http://schemas.openxmlformats.org/officeDocument/2006/relationships" r:embed="rId4"/>
        <a:stretch>
          <a:fillRect/>
        </a:stretch>
      </xdr:blipFill>
      <xdr:spPr>
        <a:xfrm>
          <a:off x="35719" y="13831253"/>
          <a:ext cx="7308600" cy="6270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285749</xdr:colOff>
      <xdr:row>53</xdr:row>
      <xdr:rowOff>0</xdr:rowOff>
    </xdr:from>
    <xdr:to>
      <xdr:col>7</xdr:col>
      <xdr:colOff>593727</xdr:colOff>
      <xdr:row>56</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091689" y="9700260"/>
          <a:ext cx="4199893" cy="491490"/>
        </a:xfrm>
        <a:prstGeom prst="rect">
          <a:avLst/>
        </a:prstGeom>
      </xdr:spPr>
    </xdr:pic>
    <xdr:clientData/>
  </xdr:twoCellAnchor>
  <xdr:twoCellAnchor editAs="oneCell">
    <xdr:from>
      <xdr:col>2</xdr:col>
      <xdr:colOff>276226</xdr:colOff>
      <xdr:row>58</xdr:row>
      <xdr:rowOff>0</xdr:rowOff>
    </xdr:from>
    <xdr:to>
      <xdr:col>7</xdr:col>
      <xdr:colOff>186691</xdr:colOff>
      <xdr:row>60</xdr:row>
      <xdr:rowOff>131938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2028826" y="10267950"/>
          <a:ext cx="3714750" cy="465313"/>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eec.ky.gov/Environmental-Protection/Water/Drinking/DWProfessionals/Pages/Compliance.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ec.ky.gov/Environmental-Protection/Water/Drinking/DWProfessionals/Pages/Compliance.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ec.ky.gov/Environmental-Protection/Water/Drinking/DWProfessionals/Pages/Technical-Assistance.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6ECE-FD4A-4FF5-88D6-06C3C050EDB4}">
  <dimension ref="A1:D27"/>
  <sheetViews>
    <sheetView showGridLines="0" tabSelected="1" workbookViewId="0">
      <selection activeCell="B5" sqref="B5"/>
    </sheetView>
  </sheetViews>
  <sheetFormatPr defaultRowHeight="12.75"/>
  <cols>
    <col min="1" max="1" width="1.28515625" customWidth="1"/>
    <col min="2" max="2" width="41.28515625" customWidth="1"/>
    <col min="3" max="3" width="47.85546875" customWidth="1"/>
    <col min="4" max="4" width="1.42578125" customWidth="1"/>
  </cols>
  <sheetData>
    <row r="1" spans="1:4" ht="42" customHeight="1">
      <c r="A1" s="1084"/>
      <c r="B1" s="1115" t="e" vm="1">
        <v>#VALUE!</v>
      </c>
      <c r="C1" s="1114" t="s">
        <v>755</v>
      </c>
      <c r="D1" s="1084"/>
    </row>
    <row r="2" spans="1:4" ht="27" customHeight="1">
      <c r="A2" s="1084"/>
      <c r="B2" s="1140" t="s">
        <v>728</v>
      </c>
      <c r="C2" s="1140"/>
      <c r="D2" s="1084"/>
    </row>
    <row r="3" spans="1:4">
      <c r="A3" s="1084"/>
      <c r="B3" s="1141" t="s">
        <v>729</v>
      </c>
      <c r="C3" s="1141"/>
      <c r="D3" s="1084"/>
    </row>
    <row r="4" spans="1:4" ht="16.149999999999999" customHeight="1">
      <c r="A4" s="1084"/>
      <c r="B4" s="1086" t="s">
        <v>734</v>
      </c>
      <c r="C4" s="1086" t="s">
        <v>733</v>
      </c>
      <c r="D4" s="1084"/>
    </row>
    <row r="5" spans="1:4" ht="19.899999999999999" customHeight="1">
      <c r="A5" s="1084"/>
      <c r="B5" s="1116" t="s">
        <v>754</v>
      </c>
      <c r="C5" s="1101" t="s">
        <v>744</v>
      </c>
      <c r="D5" s="1084"/>
    </row>
    <row r="6" spans="1:4" ht="19.899999999999999" customHeight="1">
      <c r="A6" s="1084"/>
      <c r="B6" s="1102" t="s">
        <v>615</v>
      </c>
      <c r="C6" s="1103" t="s">
        <v>742</v>
      </c>
      <c r="D6" s="1084"/>
    </row>
    <row r="7" spans="1:4" ht="19.899999999999999" customHeight="1">
      <c r="A7" s="1084"/>
      <c r="B7" s="1102" t="s">
        <v>616</v>
      </c>
      <c r="C7" s="1103" t="s">
        <v>742</v>
      </c>
      <c r="D7" s="1084"/>
    </row>
    <row r="8" spans="1:4" ht="19.899999999999999" customHeight="1">
      <c r="A8" s="1084"/>
      <c r="B8" s="1102" t="s">
        <v>617</v>
      </c>
      <c r="C8" s="1103" t="s">
        <v>748</v>
      </c>
      <c r="D8" s="1084"/>
    </row>
    <row r="9" spans="1:4" ht="19.899999999999999" customHeight="1">
      <c r="A9" s="1084"/>
      <c r="B9" s="1102" t="s">
        <v>618</v>
      </c>
      <c r="C9" s="1103" t="s">
        <v>748</v>
      </c>
      <c r="D9" s="1084"/>
    </row>
    <row r="10" spans="1:4" ht="19.899999999999999" customHeight="1">
      <c r="A10" s="1084"/>
      <c r="B10" s="1104" t="s">
        <v>619</v>
      </c>
      <c r="C10" s="1101" t="s">
        <v>744</v>
      </c>
      <c r="D10" s="1084"/>
    </row>
    <row r="11" spans="1:4" ht="19.899999999999999" customHeight="1">
      <c r="A11" s="1084"/>
      <c r="B11" s="1102" t="s">
        <v>731</v>
      </c>
      <c r="C11" s="1103" t="s">
        <v>749</v>
      </c>
      <c r="D11" s="1084"/>
    </row>
    <row r="12" spans="1:4" ht="19.899999999999999" customHeight="1">
      <c r="A12" s="1084"/>
      <c r="B12" s="1102" t="s">
        <v>621</v>
      </c>
      <c r="C12" s="1103" t="s">
        <v>750</v>
      </c>
      <c r="D12" s="1084"/>
    </row>
    <row r="13" spans="1:4" ht="19.899999999999999" customHeight="1">
      <c r="A13" s="1084"/>
      <c r="B13" s="1105" t="s">
        <v>732</v>
      </c>
      <c r="C13" s="1106" t="s">
        <v>760</v>
      </c>
      <c r="D13" s="1084"/>
    </row>
    <row r="14" spans="1:4" ht="19.899999999999999" customHeight="1">
      <c r="A14" s="1084"/>
      <c r="B14" s="1105" t="s">
        <v>623</v>
      </c>
      <c r="C14" s="1106" t="s">
        <v>761</v>
      </c>
      <c r="D14" s="1084"/>
    </row>
    <row r="15" spans="1:4" ht="19.899999999999999" customHeight="1">
      <c r="A15" s="1084"/>
      <c r="B15" s="1105" t="s">
        <v>735</v>
      </c>
      <c r="C15" s="1106" t="s">
        <v>751</v>
      </c>
      <c r="D15" s="1084"/>
    </row>
    <row r="16" spans="1:4" ht="19.899999999999999" customHeight="1">
      <c r="A16" s="1084"/>
      <c r="B16" s="1105" t="s">
        <v>736</v>
      </c>
      <c r="C16" s="1106" t="s">
        <v>743</v>
      </c>
      <c r="D16" s="1084"/>
    </row>
    <row r="17" spans="1:4" ht="19.899999999999999" customHeight="1">
      <c r="A17" s="1084"/>
      <c r="B17" s="1105" t="s">
        <v>737</v>
      </c>
      <c r="C17" s="1106" t="s">
        <v>745</v>
      </c>
      <c r="D17" s="1084"/>
    </row>
    <row r="18" spans="1:4" ht="4.9000000000000004" customHeight="1">
      <c r="A18" s="1084"/>
      <c r="B18" s="1112"/>
      <c r="C18" s="1113"/>
      <c r="D18" s="1084"/>
    </row>
    <row r="19" spans="1:4" ht="19.899999999999999" customHeight="1">
      <c r="A19" s="1084"/>
      <c r="B19" s="1107" t="s">
        <v>513</v>
      </c>
      <c r="C19" s="1108" t="s">
        <v>742</v>
      </c>
      <c r="D19" s="1084"/>
    </row>
    <row r="20" spans="1:4" ht="19.899999999999999" customHeight="1">
      <c r="A20" s="1084"/>
      <c r="B20" s="1109" t="s">
        <v>514</v>
      </c>
      <c r="C20" s="1110" t="s">
        <v>744</v>
      </c>
      <c r="D20" s="1084"/>
    </row>
    <row r="21" spans="1:4" ht="19.899999999999999" customHeight="1">
      <c r="A21" s="1084"/>
      <c r="B21" s="1088"/>
      <c r="C21" s="1085"/>
      <c r="D21" s="1084"/>
    </row>
    <row r="22" spans="1:4" ht="19.899999999999999" customHeight="1">
      <c r="A22" s="1084"/>
      <c r="B22" s="1089" t="s">
        <v>746</v>
      </c>
      <c r="C22" s="1087" t="s">
        <v>747</v>
      </c>
      <c r="D22" s="1084"/>
    </row>
    <row r="23" spans="1:4" ht="21.6" customHeight="1">
      <c r="A23" s="1084"/>
      <c r="B23" s="1105" t="s">
        <v>738</v>
      </c>
      <c r="C23" s="1106" t="s">
        <v>742</v>
      </c>
      <c r="D23" s="1084"/>
    </row>
    <row r="24" spans="1:4" ht="19.899999999999999" customHeight="1">
      <c r="A24" s="1084"/>
      <c r="B24" s="1111" t="s">
        <v>739</v>
      </c>
      <c r="C24" s="1106" t="s">
        <v>744</v>
      </c>
      <c r="D24" s="1084"/>
    </row>
    <row r="25" spans="1:4" ht="19.899999999999999" customHeight="1">
      <c r="A25" s="1084"/>
      <c r="B25" s="1105" t="s">
        <v>740</v>
      </c>
      <c r="C25" s="1106" t="s">
        <v>752</v>
      </c>
      <c r="D25" s="1084"/>
    </row>
    <row r="26" spans="1:4" ht="19.899999999999999" customHeight="1">
      <c r="A26" s="1084"/>
      <c r="B26" s="1111" t="s">
        <v>741</v>
      </c>
      <c r="C26" s="1106" t="s">
        <v>744</v>
      </c>
      <c r="D26" s="1084"/>
    </row>
    <row r="27" spans="1:4" ht="8.4499999999999993" customHeight="1">
      <c r="A27" s="1084"/>
      <c r="B27" s="1084"/>
      <c r="C27" s="1084"/>
      <c r="D27" s="1084"/>
    </row>
  </sheetData>
  <sheetProtection algorithmName="SHA-512" hashValue="ikI8/4JQni+ZFROjL6W6kcbRPy+ArOtuzq1y8YDtURDsuT0es8DmpmC3cT49//oTlrFrYYMeW0eKjRPKj2u/Nw==" saltValue="TNOO6hvkBtiPynjRCvSQRA==" spinCount="100000" sheet="1" objects="1" scenarios="1" selectLockedCells="1"/>
  <mergeCells count="2">
    <mergeCell ref="B2:C2"/>
    <mergeCell ref="B3:C3"/>
  </mergeCells>
  <hyperlinks>
    <hyperlink ref="B6" location="'P1 Chemicals'!Print_Area" display="P1 Chemicals" xr:uid="{543C9E55-0DA0-46BC-94B5-0AB3A745AF32}"/>
    <hyperlink ref="B7" location="'P2 Water Quality'!Print_Area" display="P2 Water Quality" xr:uid="{68FCC7C3-27AC-4C4F-9481-FD2CF73C44B6}"/>
    <hyperlink ref="B8" location="'P3 Turbidity'!Print_Area" display="P3 Turbidity" xr:uid="{1EEF9E34-6711-46C2-BD68-0C4D7FFC26A8}"/>
    <hyperlink ref="B9" location="'P4 Filters'!Print_Area" display="P4 Filters" xr:uid="{7652145B-97FE-4B32-B162-CC139E6B6405}"/>
    <hyperlink ref="B10" location="'P5 Dis. Residual'!Print_Area" display="'P5 Disinfectant Residual" xr:uid="{9C1416B3-8C16-4F51-AB8B-A6B7290C85D3}"/>
    <hyperlink ref="B11" location="'P6 ChlorineDioxide'!Print_Area" display="'P6 Chlorine Dioxide" xr:uid="{456AEE67-DB83-478A-B28F-1F253E065885}"/>
    <hyperlink ref="B12" location="'P7 Fluoride'!Print_Area" display="'P7 Fluoride" xr:uid="{36A18251-13E9-4A1D-ACF6-CA145C6C1097}"/>
    <hyperlink ref="B13" location="'P8 LT2 Bin2'!Print_Area" display="'P8 LT2 Bin2" xr:uid="{9BB4015F-154B-494B-AE89-F92C03745E8A}"/>
    <hyperlink ref="B14" location="'P9 UV'!Print_Area" display="'P9 UV" xr:uid="{1ACD1793-FD25-4428-B0B5-00A89D3D16CB}"/>
    <hyperlink ref="B19" location="'Plant Summary Sheet'!Print_Area" display="'Plant Summary Sheet" xr:uid="{F91D5749-E355-4698-A77A-F3DE698FAA08}"/>
    <hyperlink ref="B20" location="'Summary Sheet'!Print_Area" display="'Summary Sheet" xr:uid="{A8930768-5032-4FAD-9400-1AADBBAFC170}"/>
    <hyperlink ref="B15" location="'P10 Membrane Filt'!Print_Area" display="'P10 Membrane Filtration" xr:uid="{3B02622C-1018-4706-84D9-86BA7E03BBDF}"/>
    <hyperlink ref="B16" location="'P11 Clarifiers'!Print_Area" display="'P11 Clarifiers" xr:uid="{47DAC2E8-7C68-4909-A62C-EEDF870D4062}"/>
    <hyperlink ref="B17" location="'P12 Water Loss'!Print_Area" display="'P12 Water Loss" xr:uid="{6A7493D6-725E-47A8-AAFB-65B7E3F1FE50}"/>
    <hyperlink ref="B23" location="'P3A IF Turbidity Exc'!Print_Area" display="'P3A Individual Filter Turbidity Exceedance" xr:uid="{4202B1DE-95C1-4FE0-B883-D82C7AD8836D}"/>
    <hyperlink ref="B24" location="Comments!Print_Area" display="Comments Page" xr:uid="{28D5E5FD-85E5-4C8C-A3F6-EDE528FA8FC9}"/>
    <hyperlink ref="B25" location="'Annual Data '!Print_Area" display="'Annual Data Form" xr:uid="{99BF1045-D8C5-4813-8ACD-3DDC5DB57C33}"/>
    <hyperlink ref="B26" location="PurchaseSaleWorksheet!Print_Area" display="Purchase/Sale Worksheet" xr:uid="{CE4DE26C-E294-475B-9C30-BF11DE4B5163}"/>
    <hyperlink ref="B5" location="'CoverSheet '!Print_Area" display="Cover Sheet" xr:uid="{8041BE4A-6F53-4CDB-A31D-39B6CC487E5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2D050"/>
    <pageSetUpPr fitToPage="1"/>
  </sheetPr>
  <dimension ref="A1:O64"/>
  <sheetViews>
    <sheetView zoomScaleNormal="100" workbookViewId="0">
      <selection activeCell="B2" sqref="B2:C2"/>
    </sheetView>
  </sheetViews>
  <sheetFormatPr defaultRowHeight="12.75"/>
  <cols>
    <col min="1" max="1" width="8.7109375" customWidth="1"/>
    <col min="2" max="2" width="12.42578125" customWidth="1"/>
    <col min="3" max="3" width="12.140625" customWidth="1"/>
    <col min="4" max="5" width="10.7109375" customWidth="1"/>
    <col min="6" max="9" width="11.7109375" customWidth="1"/>
    <col min="10" max="11" width="15.5703125" style="116" customWidth="1"/>
    <col min="12" max="12" width="1.85546875" customWidth="1"/>
    <col min="13" max="13" width="9.28515625" customWidth="1"/>
  </cols>
  <sheetData>
    <row r="1" spans="1:14" ht="26.25" customHeight="1">
      <c r="A1" s="1083" t="s">
        <v>730</v>
      </c>
      <c r="B1" s="1081" t="s">
        <v>321</v>
      </c>
      <c r="C1" s="1082"/>
      <c r="D1" s="1082"/>
      <c r="E1" s="1082"/>
      <c r="F1" s="1082"/>
      <c r="G1" s="1082"/>
      <c r="H1" s="1082"/>
      <c r="I1" s="1082"/>
      <c r="J1" s="1082"/>
      <c r="K1" s="1082"/>
      <c r="L1" s="867"/>
    </row>
    <row r="2" spans="1:14" ht="30.75" customHeight="1">
      <c r="A2" s="1196" t="s">
        <v>58</v>
      </c>
      <c r="B2" s="1396" t="s">
        <v>72</v>
      </c>
      <c r="C2" s="1397"/>
      <c r="D2" s="1400" t="s">
        <v>322</v>
      </c>
      <c r="E2" s="1401"/>
      <c r="F2" s="1218" t="s">
        <v>323</v>
      </c>
      <c r="G2" s="1425"/>
      <c r="H2" s="1425"/>
      <c r="I2" s="1219"/>
      <c r="J2" s="1424" t="s">
        <v>324</v>
      </c>
      <c r="K2" s="1424"/>
      <c r="L2" s="791"/>
      <c r="M2" s="116" t="s">
        <v>720</v>
      </c>
      <c r="N2" s="535"/>
    </row>
    <row r="3" spans="1:14" ht="25.5" customHeight="1">
      <c r="A3" s="1196"/>
      <c r="B3" s="1398" t="s">
        <v>333</v>
      </c>
      <c r="C3" s="1399"/>
      <c r="D3" s="1402"/>
      <c r="E3" s="1403"/>
      <c r="F3" s="1426" t="s">
        <v>326</v>
      </c>
      <c r="G3" s="1426" t="s">
        <v>327</v>
      </c>
      <c r="H3" s="1428" t="s">
        <v>86</v>
      </c>
      <c r="I3" s="1426" t="s">
        <v>328</v>
      </c>
      <c r="J3" s="1424"/>
      <c r="K3" s="1424"/>
      <c r="L3" s="791"/>
      <c r="M3" s="432" t="s">
        <v>719</v>
      </c>
      <c r="N3" s="535"/>
    </row>
    <row r="4" spans="1:14" ht="40.5" customHeight="1" thickBot="1">
      <c r="A4" s="1197"/>
      <c r="B4" s="946" t="s">
        <v>77</v>
      </c>
      <c r="C4" s="947" t="s">
        <v>329</v>
      </c>
      <c r="D4" s="948" t="s">
        <v>107</v>
      </c>
      <c r="E4" s="826" t="s">
        <v>108</v>
      </c>
      <c r="F4" s="1427"/>
      <c r="G4" s="1427"/>
      <c r="H4" s="1429"/>
      <c r="I4" s="1427"/>
      <c r="J4" s="842" t="s">
        <v>330</v>
      </c>
      <c r="K4" s="842" t="s">
        <v>331</v>
      </c>
      <c r="L4" s="950"/>
      <c r="M4" s="535"/>
    </row>
    <row r="5" spans="1:14" ht="12.75" customHeight="1">
      <c r="A5" s="198">
        <v>1</v>
      </c>
      <c r="B5" s="196"/>
      <c r="C5" s="196"/>
      <c r="D5" s="196"/>
      <c r="E5" s="196"/>
      <c r="F5" s="259" t="str">
        <f>IF(C5=0,"",((C5*18000)/('P1 Chemicals'!$B8)))</f>
        <v/>
      </c>
      <c r="G5" s="259" t="str">
        <f>IF($B5=0,"",(($B5*0.98*0.452)/(('P1 Chemicals'!$B8/1000000)*8.34)))</f>
        <v/>
      </c>
      <c r="H5" s="259" t="str">
        <f>IF(B5=0,"",((B5*0.985*0.607)/(('P1 Chemicals'!B8/1000000)*8.34)))</f>
        <v/>
      </c>
      <c r="I5" s="259" t="str">
        <f>IF(B5=0,"",((B5*0.23*0.792)/(('P1 Chemicals'!B8/1000000)*8.34)))</f>
        <v/>
      </c>
      <c r="J5" s="196"/>
      <c r="K5" s="196"/>
      <c r="L5" s="791" t="str">
        <f>IF($B$3="Sodium Fluoride-Saturator",IF(AND(K5&gt;0,K5&lt;F5),"SEE NOTE FOR SATURATORS",""),IF($B$3="Sodium Fluoride-Dry system",IF(AND(K5&gt;0,K5&lt;G5),"RESULTS INDICATE A POTENTIAL LEAK",""),IF($B$3="Sodium Fluorosilicate",IF(AND(K5&gt;0,K5&lt;H5),"RESULTS INDICATE A POTENTIAL LEAK",""),IF($B$3="Hydrofluorosilicic Acid-HFS",IF(AND(K5&gt;0,K5&lt;I5),"RESULTS INDICATE A POTENTIAL LEAK",""),""))))</f>
        <v/>
      </c>
    </row>
    <row r="6" spans="1:14" ht="12.75" customHeight="1">
      <c r="A6" s="198">
        <v>2</v>
      </c>
      <c r="B6" s="196"/>
      <c r="C6" s="196"/>
      <c r="D6" s="196"/>
      <c r="E6" s="196"/>
      <c r="F6" s="259" t="str">
        <f>IF(C6=0,"",((C6*18000)/('P1 Chemicals'!$B9)))</f>
        <v/>
      </c>
      <c r="G6" s="259" t="str">
        <f>IF($B6=0,"",(($B6*0.98*0.452)/(('P1 Chemicals'!$B9/1000000)*8.34)))</f>
        <v/>
      </c>
      <c r="H6" s="259" t="str">
        <f>IF(B6=0,"",((B6*0.985*0.607)/(('P1 Chemicals'!B9/1000000)*8.34)))</f>
        <v/>
      </c>
      <c r="I6" s="259" t="str">
        <f>IF(B6=0,"",((B6*0.23*0.792)/(('P1 Chemicals'!B9/1000000)*8.34)))</f>
        <v/>
      </c>
      <c r="J6" s="209"/>
      <c r="K6" s="196"/>
      <c r="L6" s="791" t="str">
        <f t="shared" ref="L6:L35" si="0">IF($B$3="Sodium Fluoride-Saturator",IF(AND(K6&gt;0,K6&lt;F6),"SEE NOTE FOR SATURATORS",""),IF($B$3="Sodium Fluoride-Dry system",IF(AND(K6&gt;0,K6&lt;G6),"RESULTS INDICATE A POTENTIAL LEAK",""),IF($B$3="Sodium Fluorosilicate",IF(AND(K6&gt;0,K6&lt;H6),"RESULTS INDICATE A POTENTIAL LEAK",""),IF($B$3="Hydrofluorosilicic Acid-HFS",IF(AND(K6&gt;0,K6&lt;I6),"RESULTS INDICATE A POTENTIAL LEAK",""),""))))</f>
        <v/>
      </c>
    </row>
    <row r="7" spans="1:14" ht="13.5" customHeight="1">
      <c r="A7" s="198">
        <v>3</v>
      </c>
      <c r="B7" s="196"/>
      <c r="C7" s="196"/>
      <c r="D7" s="196"/>
      <c r="E7" s="196"/>
      <c r="F7" s="259" t="str">
        <f>IF(C7=0,"",((C7*18000)/('P1 Chemicals'!$B10)))</f>
        <v/>
      </c>
      <c r="G7" s="259" t="str">
        <f>IF($B7=0,"",(($B7*0.98*0.452)/(('P1 Chemicals'!$B10/1000000)*8.34)))</f>
        <v/>
      </c>
      <c r="H7" s="259" t="str">
        <f>IF(B7=0,"",((B7*0.985*0.607)/(('P1 Chemicals'!B10/1000000)*8.34)))</f>
        <v/>
      </c>
      <c r="I7" s="259" t="str">
        <f>IF(B7=0,"",((B7*0.23*0.792)/(('P1 Chemicals'!B10/1000000)*8.34)))</f>
        <v/>
      </c>
      <c r="J7" s="209"/>
      <c r="K7" s="196"/>
      <c r="L7" s="791" t="str">
        <f t="shared" si="0"/>
        <v/>
      </c>
    </row>
    <row r="8" spans="1:14">
      <c r="A8" s="198">
        <v>4</v>
      </c>
      <c r="B8" s="196"/>
      <c r="C8" s="196"/>
      <c r="D8" s="196"/>
      <c r="E8" s="196"/>
      <c r="F8" s="259" t="str">
        <f>IF(C8=0,"",((C8*18000)/('P1 Chemicals'!$B11)))</f>
        <v/>
      </c>
      <c r="G8" s="259" t="str">
        <f>IF($B8=0,"",(($B8*0.98*0.452)/(('P1 Chemicals'!$B11/1000000)*8.34)))</f>
        <v/>
      </c>
      <c r="H8" s="259" t="str">
        <f>IF(B8=0,"",((B8*0.985*0.607)/(('P1 Chemicals'!B11/1000000)*8.34)))</f>
        <v/>
      </c>
      <c r="I8" s="259" t="str">
        <f>IF(B8=0,"",((B8*0.23*0.792)/(('P1 Chemicals'!B11/1000000)*8.34)))</f>
        <v/>
      </c>
      <c r="J8" s="209"/>
      <c r="K8" s="196"/>
      <c r="L8" s="791" t="str">
        <f t="shared" si="0"/>
        <v/>
      </c>
    </row>
    <row r="9" spans="1:14" ht="13.15" customHeight="1">
      <c r="A9" s="198">
        <v>5</v>
      </c>
      <c r="B9" s="196"/>
      <c r="C9" s="196"/>
      <c r="D9" s="196"/>
      <c r="E9" s="196"/>
      <c r="F9" s="259" t="str">
        <f>IF(C9=0,"",((C9*18000)/('P1 Chemicals'!$B12)))</f>
        <v/>
      </c>
      <c r="G9" s="259" t="str">
        <f>IF($B9=0,"",(($B9*0.98*0.452)/(('P1 Chemicals'!$B12/1000000)*8.34)))</f>
        <v/>
      </c>
      <c r="H9" s="259" t="str">
        <f>IF(B9=0,"",((B9*0.985*0.607)/(('P1 Chemicals'!B12/1000000)*8.34)))</f>
        <v/>
      </c>
      <c r="I9" s="259" t="str">
        <f>IF(B9=0,"",((B9*0.23*0.792)/(('P1 Chemicals'!B12/1000000)*8.34)))</f>
        <v/>
      </c>
      <c r="J9" s="209"/>
      <c r="K9" s="196"/>
      <c r="L9" s="791" t="str">
        <f t="shared" si="0"/>
        <v/>
      </c>
    </row>
    <row r="10" spans="1:14">
      <c r="A10" s="198">
        <v>6</v>
      </c>
      <c r="B10" s="196"/>
      <c r="C10" s="196"/>
      <c r="D10" s="196"/>
      <c r="E10" s="196"/>
      <c r="F10" s="259" t="str">
        <f>IF(C10=0,"",((C10*18000)/('P1 Chemicals'!$B13)))</f>
        <v/>
      </c>
      <c r="G10" s="259" t="str">
        <f>IF($B10=0,"",(($B10*0.98*0.452)/(('P1 Chemicals'!$B13/1000000)*8.34)))</f>
        <v/>
      </c>
      <c r="H10" s="259" t="str">
        <f>IF(B10=0,"",((B10*0.985*0.607)/(('P1 Chemicals'!B13/1000000)*8.34)))</f>
        <v/>
      </c>
      <c r="I10" s="259" t="str">
        <f>IF(B10=0,"",((B10*0.23*0.792)/(('P1 Chemicals'!B13/1000000)*8.34)))</f>
        <v/>
      </c>
      <c r="J10" s="209"/>
      <c r="K10" s="196"/>
      <c r="L10" s="791" t="str">
        <f t="shared" si="0"/>
        <v/>
      </c>
    </row>
    <row r="11" spans="1:14" ht="13.15" customHeight="1">
      <c r="A11" s="198">
        <v>7</v>
      </c>
      <c r="B11" s="196"/>
      <c r="C11" s="196"/>
      <c r="D11" s="196"/>
      <c r="E11" s="196"/>
      <c r="F11" s="259" t="str">
        <f>IF(C11=0,"",((C11*18000)/('P1 Chemicals'!$B14)))</f>
        <v/>
      </c>
      <c r="G11" s="259" t="str">
        <f>IF($B11=0,"",(($B11*0.98*0.452)/(('P1 Chemicals'!$B14/1000000)*8.34)))</f>
        <v/>
      </c>
      <c r="H11" s="259" t="str">
        <f>IF(B11=0,"",((B11*0.985*0.607)/(('P1 Chemicals'!B14/1000000)*8.34)))</f>
        <v/>
      </c>
      <c r="I11" s="259" t="str">
        <f>IF(B11=0,"",((B11*0.23*0.792)/(('P1 Chemicals'!B14/1000000)*8.34)))</f>
        <v/>
      </c>
      <c r="J11" s="209"/>
      <c r="K11" s="549"/>
      <c r="L11" s="791" t="str">
        <f t="shared" si="0"/>
        <v/>
      </c>
    </row>
    <row r="12" spans="1:14">
      <c r="A12" s="198">
        <v>8</v>
      </c>
      <c r="B12" s="196"/>
      <c r="C12" s="196"/>
      <c r="D12" s="196"/>
      <c r="E12" s="196"/>
      <c r="F12" s="259" t="str">
        <f>IF(C12=0,"",((C12*18000)/('P1 Chemicals'!$B15)))</f>
        <v/>
      </c>
      <c r="G12" s="259" t="str">
        <f>IF($B12=0,"",(($B12*0.98*0.452)/(('P1 Chemicals'!$B15/1000000)*8.34)))</f>
        <v/>
      </c>
      <c r="H12" s="259" t="str">
        <f>IF(B12=0,"",((B12*0.985*0.607)/(('P1 Chemicals'!B15/1000000)*8.34)))</f>
        <v/>
      </c>
      <c r="I12" s="259" t="str">
        <f>IF(B12=0,"",((B12*0.23*0.792)/(('P1 Chemicals'!B15/1000000)*8.34)))</f>
        <v/>
      </c>
      <c r="J12" s="537"/>
      <c r="K12" s="550"/>
      <c r="L12" s="791" t="str">
        <f t="shared" si="0"/>
        <v/>
      </c>
    </row>
    <row r="13" spans="1:14">
      <c r="A13" s="198">
        <v>9</v>
      </c>
      <c r="B13" s="196"/>
      <c r="C13" s="196"/>
      <c r="D13" s="196"/>
      <c r="E13" s="196"/>
      <c r="F13" s="259" t="str">
        <f>IF(C13=0,"",((C13*18000)/('P1 Chemicals'!$B16)))</f>
        <v/>
      </c>
      <c r="G13" s="259" t="str">
        <f>IF($B13=0,"",(($B13*0.98*0.452)/(('P1 Chemicals'!$B16/1000000)*8.34)))</f>
        <v/>
      </c>
      <c r="H13" s="259" t="str">
        <f>IF(B13=0,"",((B13*0.985*0.607)/(('P1 Chemicals'!B16/1000000)*8.34)))</f>
        <v/>
      </c>
      <c r="I13" s="259" t="str">
        <f>IF(B13=0,"",((B13*0.23*0.792)/(('P1 Chemicals'!B16/1000000)*8.34)))</f>
        <v/>
      </c>
      <c r="J13" s="537"/>
      <c r="K13" s="549"/>
      <c r="L13" s="791" t="str">
        <f t="shared" si="0"/>
        <v/>
      </c>
    </row>
    <row r="14" spans="1:14">
      <c r="A14" s="198">
        <v>10</v>
      </c>
      <c r="B14" s="196"/>
      <c r="C14" s="196"/>
      <c r="D14" s="196"/>
      <c r="E14" s="196"/>
      <c r="F14" s="259" t="str">
        <f>IF(C14=0,"",((C14*18000)/('P1 Chemicals'!$B17)))</f>
        <v/>
      </c>
      <c r="G14" s="259" t="str">
        <f>IF($B14=0,"",(($B14*0.98*0.452)/(('P1 Chemicals'!$B17/1000000)*8.34)))</f>
        <v/>
      </c>
      <c r="H14" s="259" t="str">
        <f>IF(B14=0,"",((B14*0.985*0.607)/(('P1 Chemicals'!B17/1000000)*8.34)))</f>
        <v/>
      </c>
      <c r="I14" s="259" t="str">
        <f>IF(B14=0,"",((B14*0.23*0.792)/(('P1 Chemicals'!B17/1000000)*8.34)))</f>
        <v/>
      </c>
      <c r="J14" s="537"/>
      <c r="K14" s="549"/>
      <c r="L14" s="791" t="str">
        <f t="shared" si="0"/>
        <v/>
      </c>
    </row>
    <row r="15" spans="1:14">
      <c r="A15" s="198">
        <v>11</v>
      </c>
      <c r="B15" s="196"/>
      <c r="C15" s="196"/>
      <c r="D15" s="196"/>
      <c r="E15" s="196"/>
      <c r="F15" s="259" t="str">
        <f>IF(C15=0,"",((C15*18000)/('P1 Chemicals'!$B18)))</f>
        <v/>
      </c>
      <c r="G15" s="259" t="str">
        <f>IF($B15=0,"",(($B15*0.98*0.452)/(('P1 Chemicals'!$B18/1000000)*8.34)))</f>
        <v/>
      </c>
      <c r="H15" s="259" t="str">
        <f>IF(B15=0,"",((B15*0.985*0.607)/(('P1 Chemicals'!B18/1000000)*8.34)))</f>
        <v/>
      </c>
      <c r="I15" s="259" t="str">
        <f>IF(B15=0,"",((B15*0.23*0.792)/(('P1 Chemicals'!B18/1000000)*8.34)))</f>
        <v/>
      </c>
      <c r="J15" s="537"/>
      <c r="K15" s="549"/>
      <c r="L15" s="791" t="str">
        <f t="shared" si="0"/>
        <v/>
      </c>
    </row>
    <row r="16" spans="1:14">
      <c r="A16" s="198">
        <v>12</v>
      </c>
      <c r="B16" s="196"/>
      <c r="C16" s="196"/>
      <c r="D16" s="196"/>
      <c r="E16" s="196"/>
      <c r="F16" s="259" t="str">
        <f>IF(C16=0,"",((C16*18000)/('P1 Chemicals'!$B19)))</f>
        <v/>
      </c>
      <c r="G16" s="259" t="str">
        <f>IF($B16=0,"",(($B16*0.98*0.452)/(('P1 Chemicals'!$B19/1000000)*8.34)))</f>
        <v/>
      </c>
      <c r="H16" s="259" t="str">
        <f>IF(B16=0,"",((B16*0.985*0.607)/(('P1 Chemicals'!B19/1000000)*8.34)))</f>
        <v/>
      </c>
      <c r="I16" s="259" t="str">
        <f>IF(B16=0,"",((B16*0.23*0.792)/(('P1 Chemicals'!B19/1000000)*8.34)))</f>
        <v/>
      </c>
      <c r="J16" s="537"/>
      <c r="K16" s="549"/>
      <c r="L16" s="791" t="str">
        <f t="shared" si="0"/>
        <v/>
      </c>
    </row>
    <row r="17" spans="1:12">
      <c r="A17" s="198">
        <v>13</v>
      </c>
      <c r="B17" s="196"/>
      <c r="C17" s="196"/>
      <c r="D17" s="196"/>
      <c r="E17" s="196"/>
      <c r="F17" s="259" t="str">
        <f>IF(C17=0,"",((C17*18000)/('P1 Chemicals'!$B20)))</f>
        <v/>
      </c>
      <c r="G17" s="259" t="str">
        <f>IF($B17=0,"",(($B17*0.98*0.452)/(('P1 Chemicals'!$B20/1000000)*8.34)))</f>
        <v/>
      </c>
      <c r="H17" s="259" t="str">
        <f>IF(B17=0,"",((B17*0.985*0.607)/(('P1 Chemicals'!B20/1000000)*8.34)))</f>
        <v/>
      </c>
      <c r="I17" s="259" t="str">
        <f>IF(B17=0,"",((B17*0.23*0.792)/(('P1 Chemicals'!B20/1000000)*8.34)))</f>
        <v/>
      </c>
      <c r="J17" s="537"/>
      <c r="K17" s="549"/>
      <c r="L17" s="791" t="str">
        <f t="shared" si="0"/>
        <v/>
      </c>
    </row>
    <row r="18" spans="1:12" ht="13.15" customHeight="1">
      <c r="A18" s="198">
        <v>14</v>
      </c>
      <c r="B18" s="196"/>
      <c r="C18" s="196"/>
      <c r="D18" s="196"/>
      <c r="E18" s="196"/>
      <c r="F18" s="259" t="str">
        <f>IF(C18=0,"",((C18*18000)/('P1 Chemicals'!$B21)))</f>
        <v/>
      </c>
      <c r="G18" s="259" t="str">
        <f>IF($B18=0,"",(($B18*0.98*0.452)/(('P1 Chemicals'!$B21/1000000)*8.34)))</f>
        <v/>
      </c>
      <c r="H18" s="259" t="str">
        <f>IF(B18=0,"",((B18*0.985*0.607)/(('P1 Chemicals'!B21/1000000)*8.34)))</f>
        <v/>
      </c>
      <c r="I18" s="259" t="str">
        <f>IF(B18=0,"",((B18*0.23*0.792)/(('P1 Chemicals'!B21/1000000)*8.34)))</f>
        <v/>
      </c>
      <c r="J18" s="537"/>
      <c r="K18" s="196"/>
      <c r="L18" s="791" t="str">
        <f t="shared" si="0"/>
        <v/>
      </c>
    </row>
    <row r="19" spans="1:12">
      <c r="A19" s="198">
        <v>15</v>
      </c>
      <c r="B19" s="196"/>
      <c r="C19" s="196"/>
      <c r="D19" s="196"/>
      <c r="E19" s="196"/>
      <c r="F19" s="259" t="str">
        <f>IF(C19=0,"",((C19*18000)/('P1 Chemicals'!$B22)))</f>
        <v/>
      </c>
      <c r="G19" s="259" t="str">
        <f>IF($B19=0,"",(($B19*0.98*0.452)/(('P1 Chemicals'!$B22/1000000)*8.34)))</f>
        <v/>
      </c>
      <c r="H19" s="259" t="str">
        <f>IF(B19=0,"",((B19*0.985*0.607)/(('P1 Chemicals'!B22/1000000)*8.34)))</f>
        <v/>
      </c>
      <c r="I19" s="259" t="str">
        <f>IF(B19=0,"",((B19*0.23*0.792)/(('P1 Chemicals'!B22/1000000)*8.34)))</f>
        <v/>
      </c>
      <c r="J19" s="209"/>
      <c r="K19" s="196"/>
      <c r="L19" s="791" t="str">
        <f t="shared" si="0"/>
        <v/>
      </c>
    </row>
    <row r="20" spans="1:12" ht="13.15" customHeight="1">
      <c r="A20" s="198">
        <v>16</v>
      </c>
      <c r="B20" s="196"/>
      <c r="C20" s="196"/>
      <c r="D20" s="196"/>
      <c r="E20" s="196"/>
      <c r="F20" s="259" t="str">
        <f>IF(C20=0,"",((C20*18000)/('P1 Chemicals'!$B23)))</f>
        <v/>
      </c>
      <c r="G20" s="259" t="str">
        <f>IF($B20=0,"",(($B20*0.98*0.452)/(('P1 Chemicals'!$B23/1000000)*8.34)))</f>
        <v/>
      </c>
      <c r="H20" s="259" t="str">
        <f>IF(B20=0,"",((B20*0.985*0.607)/(('P1 Chemicals'!B23/1000000)*8.34)))</f>
        <v/>
      </c>
      <c r="I20" s="259" t="str">
        <f>IF(B20=0,"",((B20*0.23*0.792)/(('P1 Chemicals'!B23/1000000)*8.34)))</f>
        <v/>
      </c>
      <c r="J20" s="209"/>
      <c r="K20" s="196"/>
      <c r="L20" s="791" t="str">
        <f t="shared" si="0"/>
        <v/>
      </c>
    </row>
    <row r="21" spans="1:12">
      <c r="A21" s="198">
        <v>17</v>
      </c>
      <c r="B21" s="196"/>
      <c r="C21" s="196"/>
      <c r="D21" s="196"/>
      <c r="E21" s="196"/>
      <c r="F21" s="259" t="str">
        <f>IF(C21=0,"",((C21*18000)/('P1 Chemicals'!$B24)))</f>
        <v/>
      </c>
      <c r="G21" s="259" t="str">
        <f>IF($B21=0,"",(($B21*0.98*0.452)/(('P1 Chemicals'!$B24/1000000)*8.34)))</f>
        <v/>
      </c>
      <c r="H21" s="259" t="str">
        <f>IF(B21=0,"",((B21*0.985*0.607)/(('P1 Chemicals'!B24/1000000)*8.34)))</f>
        <v/>
      </c>
      <c r="I21" s="259" t="str">
        <f>IF(B21=0,"",((B21*0.23*0.792)/(('P1 Chemicals'!B24/1000000)*8.34)))</f>
        <v/>
      </c>
      <c r="J21" s="209"/>
      <c r="K21" s="196"/>
      <c r="L21" s="791" t="str">
        <f t="shared" si="0"/>
        <v/>
      </c>
    </row>
    <row r="22" spans="1:12">
      <c r="A22" s="198">
        <v>18</v>
      </c>
      <c r="B22" s="196"/>
      <c r="C22" s="196"/>
      <c r="D22" s="196"/>
      <c r="E22" s="196"/>
      <c r="F22" s="259" t="str">
        <f>IF(C22=0,"",((C22*18000)/('P1 Chemicals'!$B25)))</f>
        <v/>
      </c>
      <c r="G22" s="259" t="str">
        <f>IF($B22=0,"",(($B22*0.98*0.452)/(('P1 Chemicals'!$B25/1000000)*8.34)))</f>
        <v/>
      </c>
      <c r="H22" s="259" t="str">
        <f>IF(B22=0,"",((B22*0.985*0.607)/(('P1 Chemicals'!B25/1000000)*8.34)))</f>
        <v/>
      </c>
      <c r="I22" s="259" t="str">
        <f>IF(B22=0,"",((B22*0.23*0.792)/(('P1 Chemicals'!B25/1000000)*8.34)))</f>
        <v/>
      </c>
      <c r="J22" s="209"/>
      <c r="K22" s="196"/>
      <c r="L22" s="791" t="str">
        <f t="shared" si="0"/>
        <v/>
      </c>
    </row>
    <row r="23" spans="1:12">
      <c r="A23" s="198">
        <v>19</v>
      </c>
      <c r="B23" s="196"/>
      <c r="C23" s="196"/>
      <c r="D23" s="196"/>
      <c r="E23" s="196"/>
      <c r="F23" s="259" t="str">
        <f>IF(C23=0,"",((C23*18000)/('P1 Chemicals'!$B26)))</f>
        <v/>
      </c>
      <c r="G23" s="259" t="str">
        <f>IF($B23=0,"",(($B23*0.98*0.452)/(('P1 Chemicals'!$B26/1000000)*8.34)))</f>
        <v/>
      </c>
      <c r="H23" s="259" t="str">
        <f>IF(B23=0,"",((B23*0.985*0.607)/(('P1 Chemicals'!B26/1000000)*8.34)))</f>
        <v/>
      </c>
      <c r="I23" s="259" t="str">
        <f>IF(B23=0,"",((B23*0.23*0.792)/(('P1 Chemicals'!B26/1000000)*8.34)))</f>
        <v/>
      </c>
      <c r="J23" s="209"/>
      <c r="K23" s="196"/>
      <c r="L23" s="791" t="str">
        <f t="shared" si="0"/>
        <v/>
      </c>
    </row>
    <row r="24" spans="1:12">
      <c r="A24" s="198">
        <v>20</v>
      </c>
      <c r="B24" s="196"/>
      <c r="C24" s="196"/>
      <c r="D24" s="196"/>
      <c r="E24" s="196"/>
      <c r="F24" s="259" t="str">
        <f>IF(C24=0,"",((C24*18000)/('P1 Chemicals'!$B27)))</f>
        <v/>
      </c>
      <c r="G24" s="259" t="str">
        <f>IF($B24=0,"",(($B24*0.98*0.452)/(('P1 Chemicals'!$B27/1000000)*8.34)))</f>
        <v/>
      </c>
      <c r="H24" s="259" t="str">
        <f>IF(B24=0,"",((B24*0.985*0.607)/(('P1 Chemicals'!B27/1000000)*8.34)))</f>
        <v/>
      </c>
      <c r="I24" s="259" t="str">
        <f>IF(B24=0,"",((B24*0.23*0.792)/(('P1 Chemicals'!B27/1000000)*8.34)))</f>
        <v/>
      </c>
      <c r="J24" s="209"/>
      <c r="K24" s="196"/>
      <c r="L24" s="791" t="str">
        <f t="shared" si="0"/>
        <v/>
      </c>
    </row>
    <row r="25" spans="1:12">
      <c r="A25" s="198">
        <v>21</v>
      </c>
      <c r="B25" s="196"/>
      <c r="C25" s="196"/>
      <c r="D25" s="196"/>
      <c r="E25" s="196"/>
      <c r="F25" s="259" t="str">
        <f>IF(C25=0,"",((C25*18000)/('P1 Chemicals'!$B28)))</f>
        <v/>
      </c>
      <c r="G25" s="259" t="str">
        <f>IF($B25=0,"",(($B25*0.98*0.452)/(('P1 Chemicals'!$B28/1000000)*8.34)))</f>
        <v/>
      </c>
      <c r="H25" s="259" t="str">
        <f>IF(B25=0,"",((B25*0.985*0.607)/(('P1 Chemicals'!B28/1000000)*8.34)))</f>
        <v/>
      </c>
      <c r="I25" s="259" t="str">
        <f>IF(B25=0,"",((B25*0.23*0.792)/(('P1 Chemicals'!B28/1000000)*8.34)))</f>
        <v/>
      </c>
      <c r="J25" s="209"/>
      <c r="K25" s="549"/>
      <c r="L25" s="791" t="str">
        <f t="shared" si="0"/>
        <v/>
      </c>
    </row>
    <row r="26" spans="1:12">
      <c r="A26" s="198">
        <v>22</v>
      </c>
      <c r="B26" s="196"/>
      <c r="C26" s="196"/>
      <c r="D26" s="196"/>
      <c r="E26" s="196"/>
      <c r="F26" s="259" t="str">
        <f>IF(C26=0,"",((C26*18000)/('P1 Chemicals'!$B29)))</f>
        <v/>
      </c>
      <c r="G26" s="259" t="str">
        <f>IF($B26=0,"",(($B26*0.98*0.452)/(('P1 Chemicals'!$B29/1000000)*8.34)))</f>
        <v/>
      </c>
      <c r="H26" s="259" t="str">
        <f>IF(B26=0,"",((B26*0.985*0.607)/(('P1 Chemicals'!B29/1000000)*8.34)))</f>
        <v/>
      </c>
      <c r="I26" s="259" t="str">
        <f>IF(B26=0,"",((B26*0.23*0.792)/(('P1 Chemicals'!B29/1000000)*8.34)))</f>
        <v/>
      </c>
      <c r="J26" s="537"/>
      <c r="K26" s="550"/>
      <c r="L26" s="791" t="str">
        <f t="shared" si="0"/>
        <v/>
      </c>
    </row>
    <row r="27" spans="1:12" ht="13.15" customHeight="1">
      <c r="A27" s="198">
        <v>23</v>
      </c>
      <c r="B27" s="196"/>
      <c r="C27" s="196"/>
      <c r="D27" s="196"/>
      <c r="E27" s="196"/>
      <c r="F27" s="259" t="str">
        <f>IF(C27=0,"",((C27*18000)/('P1 Chemicals'!$B30)))</f>
        <v/>
      </c>
      <c r="G27" s="259" t="str">
        <f>IF($B27=0,"",(($B27*0.98*0.452)/(('P1 Chemicals'!$B30/1000000)*8.34)))</f>
        <v/>
      </c>
      <c r="H27" s="259" t="str">
        <f>IF(B27=0,"",((B27*0.985*0.607)/(('P1 Chemicals'!B30/1000000)*8.34)))</f>
        <v/>
      </c>
      <c r="I27" s="259" t="str">
        <f>IF(B27=0,"",((B27*0.23*0.792)/(('P1 Chemicals'!B30/1000000)*8.34)))</f>
        <v/>
      </c>
      <c r="J27" s="537"/>
      <c r="K27" s="549"/>
      <c r="L27" s="791" t="str">
        <f t="shared" si="0"/>
        <v/>
      </c>
    </row>
    <row r="28" spans="1:12">
      <c r="A28" s="198">
        <v>24</v>
      </c>
      <c r="B28" s="196"/>
      <c r="C28" s="196"/>
      <c r="D28" s="196"/>
      <c r="E28" s="196"/>
      <c r="F28" s="259" t="str">
        <f>IF(C28=0,"",((C28*18000)/('P1 Chemicals'!$B31)))</f>
        <v/>
      </c>
      <c r="G28" s="259" t="str">
        <f>IF($B28=0,"",(($B28*0.98*0.452)/(('P1 Chemicals'!$B31/1000000)*8.34)))</f>
        <v/>
      </c>
      <c r="H28" s="259" t="str">
        <f>IF(B28=0,"",((B28*0.985*0.607)/(('P1 Chemicals'!B31/1000000)*8.34)))</f>
        <v/>
      </c>
      <c r="I28" s="259" t="str">
        <f>IF(B28=0,"",((B28*0.23*0.792)/(('P1 Chemicals'!B31/1000000)*8.34)))</f>
        <v/>
      </c>
      <c r="J28" s="537"/>
      <c r="K28" s="549"/>
      <c r="L28" s="791" t="str">
        <f t="shared" si="0"/>
        <v/>
      </c>
    </row>
    <row r="29" spans="1:12" ht="13.15" customHeight="1">
      <c r="A29" s="198">
        <v>25</v>
      </c>
      <c r="B29" s="196"/>
      <c r="C29" s="196"/>
      <c r="D29" s="196"/>
      <c r="E29" s="196"/>
      <c r="F29" s="259" t="str">
        <f>IF(C29=0,"",((C29*18000)/('P1 Chemicals'!$B32)))</f>
        <v/>
      </c>
      <c r="G29" s="259" t="str">
        <f>IF($B29=0,"",(($B29*0.98*0.452)/(('P1 Chemicals'!$B32/1000000)*8.34)))</f>
        <v/>
      </c>
      <c r="H29" s="259" t="str">
        <f>IF(B29=0,"",((B29*0.985*0.607)/(('P1 Chemicals'!B32/1000000)*8.34)))</f>
        <v/>
      </c>
      <c r="I29" s="259" t="str">
        <f>IF(B29=0,"",((B29*0.23*0.792)/(('P1 Chemicals'!B32/1000000)*8.34)))</f>
        <v/>
      </c>
      <c r="J29" s="537"/>
      <c r="K29" s="549"/>
      <c r="L29" s="791" t="str">
        <f t="shared" si="0"/>
        <v/>
      </c>
    </row>
    <row r="30" spans="1:12">
      <c r="A30" s="198">
        <v>26</v>
      </c>
      <c r="B30" s="196"/>
      <c r="C30" s="196"/>
      <c r="D30" s="196"/>
      <c r="E30" s="196"/>
      <c r="F30" s="259" t="str">
        <f>IF(C30=0,"",((C30*18000)/('P1 Chemicals'!$B33)))</f>
        <v/>
      </c>
      <c r="G30" s="259" t="str">
        <f>IF($B30=0,"",(($B30*0.98*0.452)/(('P1 Chemicals'!$B33/1000000)*8.34)))</f>
        <v/>
      </c>
      <c r="H30" s="259" t="str">
        <f>IF(B30=0,"",((B30*0.985*0.607)/(('P1 Chemicals'!B33/1000000)*8.34)))</f>
        <v/>
      </c>
      <c r="I30" s="259" t="str">
        <f>IF(B30=0,"",((B30*0.23*0.792)/(('P1 Chemicals'!B33/1000000)*8.34)))</f>
        <v/>
      </c>
      <c r="J30" s="537"/>
      <c r="K30" s="549"/>
      <c r="L30" s="791" t="str">
        <f t="shared" si="0"/>
        <v/>
      </c>
    </row>
    <row r="31" spans="1:12">
      <c r="A31" s="198">
        <v>27</v>
      </c>
      <c r="B31" s="196"/>
      <c r="C31" s="196"/>
      <c r="D31" s="196"/>
      <c r="E31" s="196"/>
      <c r="F31" s="259" t="str">
        <f>IF(C31=0,"",((C31*18000)/('P1 Chemicals'!$B34)))</f>
        <v/>
      </c>
      <c r="G31" s="259" t="str">
        <f>IF($B31=0,"",(($B31*0.98*0.452)/(('P1 Chemicals'!$B34/1000000)*8.34)))</f>
        <v/>
      </c>
      <c r="H31" s="259" t="str">
        <f>IF(B31=0,"",((B31*0.985*0.607)/(('P1 Chemicals'!B34/1000000)*8.34)))</f>
        <v/>
      </c>
      <c r="I31" s="259" t="str">
        <f>IF(B31=0,"",((B31*0.23*0.792)/(('P1 Chemicals'!B34/1000000)*8.34)))</f>
        <v/>
      </c>
      <c r="J31" s="537"/>
      <c r="K31" s="549"/>
      <c r="L31" s="791" t="str">
        <f t="shared" si="0"/>
        <v/>
      </c>
    </row>
    <row r="32" spans="1:12">
      <c r="A32" s="198">
        <v>28</v>
      </c>
      <c r="B32" s="196"/>
      <c r="C32" s="196"/>
      <c r="D32" s="196"/>
      <c r="E32" s="196"/>
      <c r="F32" s="259" t="str">
        <f>IF(C32=0,"",((C32*18000)/('P1 Chemicals'!$B35)))</f>
        <v/>
      </c>
      <c r="G32" s="259" t="str">
        <f>IF($B32=0,"",(($B32*0.98*0.452)/(('P1 Chemicals'!$B35/1000000)*8.34)))</f>
        <v/>
      </c>
      <c r="H32" s="259" t="str">
        <f>IF(B32=0,"",((B32*0.985*0.607)/(('P1 Chemicals'!B35/1000000)*8.34)))</f>
        <v/>
      </c>
      <c r="I32" s="259" t="str">
        <f>IF(B32=0,"",((B32*0.23*0.792)/(('P1 Chemicals'!B35/1000000)*8.34)))</f>
        <v/>
      </c>
      <c r="J32" s="537"/>
      <c r="K32" s="549"/>
      <c r="L32" s="791" t="str">
        <f t="shared" si="0"/>
        <v/>
      </c>
    </row>
    <row r="33" spans="1:12">
      <c r="A33" s="198">
        <v>29</v>
      </c>
      <c r="B33" s="196"/>
      <c r="C33" s="196"/>
      <c r="D33" s="196"/>
      <c r="E33" s="196"/>
      <c r="F33" s="259" t="str">
        <f>IF(C33=0,"",((C33*18000)/('P1 Chemicals'!$B36)))</f>
        <v/>
      </c>
      <c r="G33" s="259" t="str">
        <f>IF($B33=0,"",(($B33*0.98*0.452)/(('P1 Chemicals'!$B36/1000000)*8.34)))</f>
        <v/>
      </c>
      <c r="H33" s="259" t="str">
        <f>IF(B33=0,"",((B33*0.985*0.607)/(('P1 Chemicals'!B36/1000000)*8.34)))</f>
        <v/>
      </c>
      <c r="I33" s="259" t="str">
        <f>IF(B33=0,"",((B33*0.23*0.792)/(('P1 Chemicals'!B36/1000000)*8.34)))</f>
        <v/>
      </c>
      <c r="J33" s="537"/>
      <c r="K33" s="549"/>
      <c r="L33" s="791" t="str">
        <f t="shared" si="0"/>
        <v/>
      </c>
    </row>
    <row r="34" spans="1:12">
      <c r="A34" s="198">
        <v>30</v>
      </c>
      <c r="B34" s="196"/>
      <c r="C34" s="196"/>
      <c r="D34" s="196"/>
      <c r="E34" s="196"/>
      <c r="F34" s="259" t="str">
        <f>IF(C34=0,"",((C34*18000)/('P1 Chemicals'!$B37)))</f>
        <v/>
      </c>
      <c r="G34" s="259" t="str">
        <f>IF($B34=0,"",(($B34*0.98*0.452)/(('P1 Chemicals'!$B37/1000000)*8.34)))</f>
        <v/>
      </c>
      <c r="H34" s="259" t="str">
        <f>IF(B34=0,"",((B34*0.985*0.607)/(('P1 Chemicals'!B37/1000000)*8.34)))</f>
        <v/>
      </c>
      <c r="I34" s="259" t="str">
        <f>IF(B34=0,"",((B34*0.23*0.792)/(('P1 Chemicals'!B37/1000000)*8.34)))</f>
        <v/>
      </c>
      <c r="J34" s="537"/>
      <c r="K34" s="549"/>
      <c r="L34" s="791" t="str">
        <f t="shared" si="0"/>
        <v/>
      </c>
    </row>
    <row r="35" spans="1:12" ht="13.5" thickBot="1">
      <c r="A35" s="260">
        <v>31</v>
      </c>
      <c r="B35" s="196"/>
      <c r="C35" s="196"/>
      <c r="D35" s="196"/>
      <c r="E35" s="196"/>
      <c r="F35" s="259" t="str">
        <f>IF(C35=0,"",((C35*18000)/('P1 Chemicals'!$B38)))</f>
        <v/>
      </c>
      <c r="G35" s="259" t="str">
        <f>IF($B35=0,"",(($B35*0.98*0.452)/(('P1 Chemicals'!$B38/1000000)*8.34)))</f>
        <v/>
      </c>
      <c r="H35" s="259" t="str">
        <f>IF(B35=0,"",((B35*0.985*0.607)/(('P1 Chemicals'!B38/1000000)*8.34)))</f>
        <v/>
      </c>
      <c r="I35" s="259" t="str">
        <f>IF(B35=0,"",((B35*0.23*0.792)/(('P1 Chemicals'!B38/1000000)*8.34)))</f>
        <v/>
      </c>
      <c r="J35" s="210"/>
      <c r="K35" s="211"/>
      <c r="L35" s="791" t="str">
        <f t="shared" si="0"/>
        <v/>
      </c>
    </row>
    <row r="36" spans="1:12">
      <c r="A36" s="952" t="s">
        <v>80</v>
      </c>
      <c r="B36" s="552" t="str">
        <f>IF(SUM(B5:B35)=0,"",SUM(B5:B35))</f>
        <v/>
      </c>
      <c r="C36" s="500" t="str">
        <f>IF(SUM(C5:C35)=0,"",SUM(C5:C35))</f>
        <v/>
      </c>
      <c r="D36" s="500"/>
      <c r="E36" s="500"/>
      <c r="F36" s="500"/>
      <c r="G36" s="500"/>
      <c r="H36" s="500"/>
      <c r="I36" s="500"/>
      <c r="J36" s="500"/>
      <c r="K36" s="551"/>
      <c r="L36" s="791"/>
    </row>
    <row r="37" spans="1:12" ht="13.5" thickBot="1">
      <c r="A37" s="951" t="s">
        <v>82</v>
      </c>
      <c r="B37" s="501" t="str">
        <f>IFERROR(AVERAGE(B5:B35)," ")</f>
        <v xml:space="preserve"> </v>
      </c>
      <c r="C37" s="501" t="str">
        <f>IFERROR(AVERAGE(C5:C35)," ")</f>
        <v xml:space="preserve"> </v>
      </c>
      <c r="D37" s="501" t="str">
        <f>IFERROR(AVERAGE(D5:D35)," ")</f>
        <v xml:space="preserve"> </v>
      </c>
      <c r="E37" s="501" t="str">
        <f>IFERROR(AVERAGE(E5:E35)," ")</f>
        <v xml:space="preserve"> </v>
      </c>
      <c r="F37" s="501" t="str">
        <f t="shared" ref="F37:K37" si="1">IFERROR(AVERAGE(F5:F35),"")</f>
        <v/>
      </c>
      <c r="G37" s="501" t="str">
        <f t="shared" si="1"/>
        <v/>
      </c>
      <c r="H37" s="501" t="str">
        <f t="shared" si="1"/>
        <v/>
      </c>
      <c r="I37" s="501" t="str">
        <f t="shared" si="1"/>
        <v/>
      </c>
      <c r="J37" s="501" t="str">
        <f t="shared" si="1"/>
        <v/>
      </c>
      <c r="K37" s="501" t="str">
        <f t="shared" si="1"/>
        <v/>
      </c>
      <c r="L37" s="791"/>
    </row>
    <row r="38" spans="1:12" ht="5.65" customHeight="1">
      <c r="L38" s="791"/>
    </row>
    <row r="39" spans="1:12" ht="15.75" customHeight="1">
      <c r="A39" s="1407" t="s">
        <v>626</v>
      </c>
      <c r="B39" s="1407"/>
      <c r="C39" s="1407"/>
      <c r="D39" s="1407"/>
      <c r="E39" s="1407"/>
      <c r="F39" s="1412" t="s">
        <v>332</v>
      </c>
      <c r="G39" s="1413"/>
      <c r="H39" s="1413"/>
      <c r="I39" s="1414"/>
      <c r="J39" s="528" t="s">
        <v>333</v>
      </c>
      <c r="K39" s="334">
        <f>PWSID</f>
        <v>0</v>
      </c>
      <c r="L39" s="791"/>
    </row>
    <row r="40" spans="1:12" ht="13.15" customHeight="1">
      <c r="A40" s="261"/>
      <c r="B40" s="1404" t="s">
        <v>334</v>
      </c>
      <c r="C40" s="1404"/>
      <c r="D40" s="1404"/>
      <c r="E40" s="1405"/>
      <c r="F40" s="1415"/>
      <c r="G40" s="1416"/>
      <c r="H40" s="1416"/>
      <c r="I40" s="1417"/>
      <c r="J40" s="528" t="s">
        <v>335</v>
      </c>
      <c r="K40" s="334" t="str">
        <f>MMYYYY</f>
        <v>05/2025</v>
      </c>
      <c r="L40" s="791"/>
    </row>
    <row r="41" spans="1:12" ht="15" customHeight="1">
      <c r="A41" s="536"/>
      <c r="B41" s="1404" t="s">
        <v>336</v>
      </c>
      <c r="C41" s="1404"/>
      <c r="D41" s="1404"/>
      <c r="E41" s="1405"/>
      <c r="F41" s="1415"/>
      <c r="G41" s="1416"/>
      <c r="H41" s="1416"/>
      <c r="I41" s="1417"/>
      <c r="J41" s="529" t="s">
        <v>325</v>
      </c>
      <c r="L41" s="791"/>
    </row>
    <row r="42" spans="1:12">
      <c r="A42" s="262"/>
      <c r="B42" s="1404" t="s">
        <v>337</v>
      </c>
      <c r="C42" s="1404"/>
      <c r="D42" s="1404"/>
      <c r="E42" s="1405"/>
      <c r="F42" s="1418"/>
      <c r="G42" s="1419"/>
      <c r="H42" s="1419"/>
      <c r="I42" s="1420"/>
      <c r="J42" s="528" t="s">
        <v>86</v>
      </c>
      <c r="L42" s="791"/>
    </row>
    <row r="43" spans="1:12">
      <c r="A43" s="553"/>
      <c r="B43" s="1404" t="s">
        <v>338</v>
      </c>
      <c r="C43" s="1404"/>
      <c r="D43" s="1404"/>
      <c r="E43" s="1404"/>
      <c r="F43" s="662"/>
      <c r="G43" s="662"/>
      <c r="H43" s="662"/>
      <c r="I43" s="662"/>
      <c r="J43" s="528" t="s">
        <v>339</v>
      </c>
      <c r="L43" s="791"/>
    </row>
    <row r="44" spans="1:12">
      <c r="A44" s="548"/>
      <c r="B44" s="1404" t="s">
        <v>340</v>
      </c>
      <c r="C44" s="1404"/>
      <c r="D44" s="1404"/>
      <c r="E44" s="1404"/>
      <c r="F44" s="662"/>
      <c r="G44" s="662"/>
      <c r="H44" s="662"/>
      <c r="I44" s="662"/>
      <c r="L44" s="791"/>
    </row>
    <row r="45" spans="1:12" ht="7.5" customHeight="1">
      <c r="A45" s="791"/>
      <c r="B45" s="791"/>
      <c r="C45" s="791"/>
      <c r="D45" s="791"/>
      <c r="E45" s="791"/>
      <c r="F45" s="791"/>
      <c r="G45" s="791"/>
      <c r="H45" s="791"/>
      <c r="I45" s="791"/>
      <c r="J45" s="867"/>
      <c r="K45" s="867"/>
      <c r="L45" s="791"/>
    </row>
    <row r="46" spans="1:12" ht="25.5">
      <c r="A46" s="1421" t="s">
        <v>341</v>
      </c>
      <c r="B46" s="1422"/>
      <c r="C46" s="1423"/>
      <c r="D46" s="661" t="s">
        <v>342</v>
      </c>
      <c r="E46" s="661" t="s">
        <v>343</v>
      </c>
      <c r="F46" s="1408" t="s">
        <v>344</v>
      </c>
      <c r="G46" s="1408"/>
      <c r="H46" s="1408"/>
    </row>
    <row r="47" spans="1:12" ht="12.75" customHeight="1">
      <c r="A47" s="1409" t="s">
        <v>345</v>
      </c>
      <c r="B47" s="1410"/>
      <c r="C47" s="1411"/>
      <c r="D47" s="660" t="s">
        <v>346</v>
      </c>
      <c r="E47" s="502">
        <v>0.98</v>
      </c>
      <c r="F47" s="1406">
        <v>0.45200000000000001</v>
      </c>
      <c r="G47" s="1406"/>
      <c r="H47" s="1406"/>
    </row>
    <row r="48" spans="1:12" ht="15.75" customHeight="1">
      <c r="A48" s="1409" t="s">
        <v>86</v>
      </c>
      <c r="B48" s="1410"/>
      <c r="C48" s="1411"/>
      <c r="D48" s="660" t="s">
        <v>347</v>
      </c>
      <c r="E48" s="502">
        <v>0.98499999999999999</v>
      </c>
      <c r="F48" s="1406">
        <v>0.60699999999999998</v>
      </c>
      <c r="G48" s="1406"/>
      <c r="H48" s="1406"/>
    </row>
    <row r="49" spans="1:15" ht="25.5" customHeight="1">
      <c r="A49" s="1409" t="s">
        <v>348</v>
      </c>
      <c r="B49" s="1410"/>
      <c r="C49" s="1411"/>
      <c r="D49" s="660" t="s">
        <v>349</v>
      </c>
      <c r="E49" s="502">
        <v>0.23</v>
      </c>
      <c r="F49" s="1406">
        <v>0.79200000000000004</v>
      </c>
      <c r="G49" s="1406"/>
      <c r="H49" s="1406"/>
      <c r="J49" s="282"/>
    </row>
    <row r="50" spans="1:15" ht="6" customHeight="1"/>
    <row r="51" spans="1:15" ht="79.5" customHeight="1">
      <c r="A51" s="1361" t="s">
        <v>350</v>
      </c>
      <c r="B51" s="1361"/>
      <c r="C51" s="1361"/>
      <c r="D51" s="1361"/>
      <c r="E51" s="1361"/>
      <c r="F51" s="1361"/>
      <c r="G51" s="1361"/>
      <c r="H51" s="1361"/>
      <c r="I51" s="1361"/>
      <c r="K51" s="282"/>
      <c r="L51" s="282"/>
      <c r="M51" s="282"/>
      <c r="N51" s="282"/>
      <c r="O51" s="282"/>
    </row>
    <row r="52" spans="1:15" ht="6" customHeight="1" thickBot="1"/>
    <row r="53" spans="1:15">
      <c r="C53" s="383" t="s">
        <v>351</v>
      </c>
      <c r="D53" s="384"/>
      <c r="E53" s="384"/>
      <c r="F53" s="384"/>
      <c r="G53" s="384"/>
      <c r="H53" s="389"/>
    </row>
    <row r="54" spans="1:15">
      <c r="C54" s="385"/>
      <c r="D54" s="301"/>
      <c r="E54" s="301"/>
      <c r="F54" s="301"/>
      <c r="G54" s="301"/>
      <c r="H54" s="390"/>
    </row>
    <row r="55" spans="1:15">
      <c r="C55" s="385"/>
      <c r="D55" s="301"/>
      <c r="E55" s="301"/>
      <c r="F55" s="301"/>
      <c r="G55" s="301"/>
      <c r="H55" s="390"/>
    </row>
    <row r="56" spans="1:15">
      <c r="C56" s="385"/>
      <c r="D56" s="301"/>
      <c r="E56" s="301"/>
      <c r="F56" s="301"/>
      <c r="G56" s="301"/>
      <c r="H56" s="390"/>
    </row>
    <row r="57" spans="1:15" ht="8.25" customHeight="1">
      <c r="C57" s="385"/>
      <c r="D57" s="301"/>
      <c r="E57" s="301"/>
      <c r="F57" s="301"/>
      <c r="G57" s="301"/>
      <c r="H57" s="390"/>
    </row>
    <row r="58" spans="1:15">
      <c r="C58" s="386" t="s">
        <v>352</v>
      </c>
      <c r="D58" s="301"/>
      <c r="E58" s="301"/>
      <c r="F58" s="301"/>
      <c r="G58" s="301"/>
      <c r="H58" s="390"/>
    </row>
    <row r="59" spans="1:15">
      <c r="C59" s="385"/>
      <c r="D59" s="301"/>
      <c r="E59" s="301"/>
      <c r="F59" s="301"/>
      <c r="G59" s="301"/>
      <c r="H59" s="390"/>
    </row>
    <row r="60" spans="1:15">
      <c r="C60" s="385"/>
      <c r="D60" s="301"/>
      <c r="E60" s="301"/>
      <c r="F60" s="301"/>
      <c r="G60" s="301"/>
      <c r="H60" s="390"/>
    </row>
    <row r="61" spans="1:15" ht="13.5" thickBot="1">
      <c r="C61" s="387"/>
      <c r="D61" s="388"/>
      <c r="E61" s="388"/>
      <c r="F61" s="388"/>
      <c r="G61" s="388"/>
      <c r="H61" s="391"/>
    </row>
    <row r="62" spans="1:15">
      <c r="A62" s="649" t="s">
        <v>126</v>
      </c>
      <c r="B62" s="580"/>
    </row>
    <row r="63" spans="1:15">
      <c r="A63" s="649" t="s">
        <v>208</v>
      </c>
      <c r="B63" s="580" t="s">
        <v>353</v>
      </c>
    </row>
    <row r="64" spans="1:15">
      <c r="A64" s="580"/>
      <c r="B64" s="580" t="s">
        <v>354</v>
      </c>
    </row>
  </sheetData>
  <sheetProtection algorithmName="SHA-512" hashValue="fJVoWEM/nv/U9YRlRVVJ7nAS8yqQbGsJUdcMzte3rGnikqPl4ZZojq5dtFfclZZjIHtWePXx/2wNCdNA7m3Tnw==" saltValue="UQdtTAnC49chN9jlfrL2bA==" spinCount="100000" sheet="1" deleteColumns="0" selectLockedCells="1"/>
  <mergeCells count="26">
    <mergeCell ref="B43:E43"/>
    <mergeCell ref="A46:C46"/>
    <mergeCell ref="A47:C47"/>
    <mergeCell ref="A48:C48"/>
    <mergeCell ref="J2:K3"/>
    <mergeCell ref="F2:I2"/>
    <mergeCell ref="F3:F4"/>
    <mergeCell ref="H3:H4"/>
    <mergeCell ref="I3:I4"/>
    <mergeCell ref="G3:G4"/>
    <mergeCell ref="A51:I51"/>
    <mergeCell ref="B2:C2"/>
    <mergeCell ref="B3:C3"/>
    <mergeCell ref="D2:E3"/>
    <mergeCell ref="B40:E40"/>
    <mergeCell ref="B41:E41"/>
    <mergeCell ref="A2:A4"/>
    <mergeCell ref="F49:H49"/>
    <mergeCell ref="B42:E42"/>
    <mergeCell ref="A39:E39"/>
    <mergeCell ref="F46:H46"/>
    <mergeCell ref="F47:H47"/>
    <mergeCell ref="F48:H48"/>
    <mergeCell ref="A49:C49"/>
    <mergeCell ref="F39:I42"/>
    <mergeCell ref="B44:E44"/>
  </mergeCells>
  <conditionalFormatting sqref="C4:C35 C37">
    <cfRule type="expression" dxfId="27" priority="53" stopIfTrue="1">
      <formula>OR($B$3="Sodium Fluoride-Dry System",$B$3="Sodium Fluorosilicate",$B$3="Hydrofluorosilicic Acid-HFS",$B$3="Select fluoride chemical:")</formula>
    </cfRule>
  </conditionalFormatting>
  <conditionalFormatting sqref="C36">
    <cfRule type="expression" dxfId="26" priority="12">
      <formula>OR($B$3="Sodium Fluoride-Dry System",$B$3="Sodium Fluorosilicate",$B$3="Hydrofluorosilicic Acid-HFS",$B$3="Select fluoride chemical:")</formula>
    </cfRule>
  </conditionalFormatting>
  <conditionalFormatting sqref="F3:F36">
    <cfRule type="expression" dxfId="25" priority="27" stopIfTrue="1">
      <formula>OR($B$3="Sodium Fluoride-Dry System",$B$3="Sodium Fluorosilicate",$B$3="Hydrofluorosilicic Acid-HFS",$B$3="Select fluoride chemical:")</formula>
    </cfRule>
  </conditionalFormatting>
  <conditionalFormatting sqref="F37">
    <cfRule type="expression" dxfId="24" priority="31" stopIfTrue="1">
      <formula>OR($B$3="Sodium Fluoride-Dry System",$B$3="Sodium Fluorosilicate",$B$3="Hydrofluorosilicic Acid-HFS",$B$3="Select fluoride chemical:")</formula>
    </cfRule>
  </conditionalFormatting>
  <conditionalFormatting sqref="F5:G35">
    <cfRule type="containsBlanks" priority="32" stopIfTrue="1">
      <formula>LEN(TRIM(F5))=0</formula>
    </cfRule>
    <cfRule type="cellIs" dxfId="23" priority="33" operator="greaterThan">
      <formula>1.205</formula>
    </cfRule>
  </conditionalFormatting>
  <conditionalFormatting sqref="F5:I35">
    <cfRule type="cellIs" dxfId="22" priority="58" operator="between">
      <formula>0.595</formula>
      <formula>1.204</formula>
    </cfRule>
    <cfRule type="cellIs" dxfId="21" priority="59" operator="lessThan">
      <formula>0.595</formula>
    </cfRule>
  </conditionalFormatting>
  <conditionalFormatting sqref="F37:I37">
    <cfRule type="containsBlanks" priority="34" stopIfTrue="1">
      <formula>LEN(TRIM(F37))=0</formula>
    </cfRule>
    <cfRule type="cellIs" dxfId="20" priority="39" operator="greaterThan">
      <formula>1.205</formula>
    </cfRule>
    <cfRule type="cellIs" dxfId="19" priority="40" operator="between">
      <formula>0.595</formula>
      <formula>1.204</formula>
    </cfRule>
    <cfRule type="cellIs" dxfId="18" priority="41" operator="lessThan">
      <formula>0.595</formula>
    </cfRule>
  </conditionalFormatting>
  <conditionalFormatting sqref="G3">
    <cfRule type="expression" dxfId="17" priority="56" stopIfTrue="1">
      <formula>OR($B$3="Sodium Fluorosilicate",$B$3="Hydrofluorosilicic Acid-HFS",$B$3="Select fluoride chemical:")</formula>
    </cfRule>
  </conditionalFormatting>
  <conditionalFormatting sqref="G3:G36">
    <cfRule type="expression" dxfId="16" priority="11" stopIfTrue="1">
      <formula>OR($B$3="Sodium Fluoride-Saturator",$B$3="Sodium Fluorosilicate",$B$3="Hydrofluorosilicic Acid-HFS",$B$3="Select fluoride chemical:")</formula>
    </cfRule>
  </conditionalFormatting>
  <conditionalFormatting sqref="G37">
    <cfRule type="expression" dxfId="15" priority="26" stopIfTrue="1">
      <formula>OR($B$3="Sodium Fluoride-Saturator",$B$3="Sodium Fluorosilicate",$B$3="Hydrofluorosilicic Acid-HFS",$B$3="Select fluoride chemical:")</formula>
    </cfRule>
  </conditionalFormatting>
  <conditionalFormatting sqref="H3 H5:H36">
    <cfRule type="expression" dxfId="14" priority="13" stopIfTrue="1">
      <formula>OR($B$3="Sodium Fluoride-Saturator",$B$3="Sodium Fluoride-Dry system",$B$3="Hydrofluorosilicic Acid-HFS",$B$3="Select fluoride chemical:")</formula>
    </cfRule>
  </conditionalFormatting>
  <conditionalFormatting sqref="H5:H35">
    <cfRule type="containsBlanks" priority="14" stopIfTrue="1">
      <formula>LEN(TRIM(H5))=0</formula>
    </cfRule>
    <cfRule type="cellIs" dxfId="13" priority="15" operator="greaterThan">
      <formula>1.205</formula>
    </cfRule>
  </conditionalFormatting>
  <conditionalFormatting sqref="H37">
    <cfRule type="expression" dxfId="12" priority="25" stopIfTrue="1">
      <formula>OR($B$3="Sodium Fluoride-Saturator",$B$3="Sodium Fluoride-Dry system",$B$3="Hydrofluorosilicic Acid-HFS",$B$3="Select fluoride chemical:")</formula>
    </cfRule>
  </conditionalFormatting>
  <conditionalFormatting sqref="I3 I5:I36">
    <cfRule type="expression" dxfId="11" priority="28" stopIfTrue="1">
      <formula>OR($B$3="Sodium Fluorosilicate",$B$3="Sodium Fluoride-Saturator",$B$3="Sodium Fluoride-Dry system",$B$3="Select fluoride chemical:")</formula>
    </cfRule>
  </conditionalFormatting>
  <conditionalFormatting sqref="I5:I35">
    <cfRule type="containsBlanks" priority="29" stopIfTrue="1">
      <formula>LEN(TRIM(I5))=0</formula>
    </cfRule>
    <cfRule type="cellIs" dxfId="10" priority="49" operator="greaterThan">
      <formula>1.205</formula>
    </cfRule>
  </conditionalFormatting>
  <conditionalFormatting sqref="I37">
    <cfRule type="expression" dxfId="9" priority="24" stopIfTrue="1">
      <formula>OR($B$3="Sodium Fluorosilicate",$B$3="Sodium Fluoride-Saturator",$B$3="Sodium Fluoride-Dry system",$B$3="Select fluoride chemical:")</formula>
    </cfRule>
  </conditionalFormatting>
  <conditionalFormatting sqref="J37">
    <cfRule type="containsBlanks" priority="10">
      <formula>LEN(TRIM(J37))=0</formula>
    </cfRule>
  </conditionalFormatting>
  <conditionalFormatting sqref="K5:K35">
    <cfRule type="cellIs" dxfId="8" priority="2" operator="greaterThan">
      <formula>1.204</formula>
    </cfRule>
    <cfRule type="cellIs" dxfId="7" priority="3" operator="between">
      <formula>0.595</formula>
      <formula>1.204</formula>
    </cfRule>
    <cfRule type="cellIs" dxfId="6" priority="4" operator="lessThan">
      <formula>0.595</formula>
    </cfRule>
    <cfRule type="containsBlanks" priority="1" stopIfTrue="1">
      <formula>LEN(TRIM(K5))=0</formula>
    </cfRule>
  </conditionalFormatting>
  <conditionalFormatting sqref="K37">
    <cfRule type="cellIs" dxfId="5" priority="43" operator="greaterThan">
      <formula>1.205</formula>
    </cfRule>
    <cfRule type="cellIs" dxfId="4" priority="44" operator="between">
      <formula>0.595</formula>
      <formula>1.204</formula>
    </cfRule>
    <cfRule type="cellIs" dxfId="3" priority="45" operator="lessThan">
      <formula>0.595</formula>
    </cfRule>
    <cfRule type="containsBlanks" priority="23" stopIfTrue="1">
      <formula>LEN(TRIM(K37))=0</formula>
    </cfRule>
  </conditionalFormatting>
  <conditionalFormatting sqref="L1 M2:M3 L4 L36:L1048576">
    <cfRule type="cellIs" dxfId="2" priority="9" operator="equal">
      <formula>"RESULTS INDICATE A POTENTIAL LEAK"</formula>
    </cfRule>
  </conditionalFormatting>
  <conditionalFormatting sqref="L5:L35">
    <cfRule type="containsText" dxfId="1" priority="5" operator="containsText" text="SEE NOTE FOR SATURATORS">
      <formula>NOT(ISERROR(SEARCH("SEE NOTE FOR SATURATORS",L5)))</formula>
    </cfRule>
    <cfRule type="cellIs" dxfId="0" priority="6" operator="equal">
      <formula>"RESULTS INDICATE A POTENTIAL LEAK"</formula>
    </cfRule>
  </conditionalFormatting>
  <dataValidations count="1">
    <dataValidation type="list" allowBlank="1" showInputMessage="1" showErrorMessage="1" sqref="B3" xr:uid="{00000000-0002-0000-0800-000000000000}">
      <formula1>$J$39:$J$43</formula1>
    </dataValidation>
  </dataValidations>
  <hyperlinks>
    <hyperlink ref="A1" location="Bookmarks!A1" display="Return to Bookmarks" xr:uid="{B3ABC79D-A195-47CD-923D-453FB7143743}"/>
  </hyperlinks>
  <printOptions horizontalCentered="1" verticalCentered="1"/>
  <pageMargins left="1" right="0.5" top="0.5" bottom="0.25" header="0.25" footer="0"/>
  <pageSetup scale="64" fitToHeight="0" orientation="portrait" cellComments="atEnd" r:id="rId1"/>
  <headerFooter alignWithMargins="0">
    <oddHeader>&amp;LMonthly Operating Report
Fluoride</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pageSetUpPr fitToPage="1"/>
  </sheetPr>
  <dimension ref="A1:I46"/>
  <sheetViews>
    <sheetView showGridLines="0" zoomScale="115" zoomScaleNormal="115" workbookViewId="0">
      <selection activeCell="G3" sqref="G3"/>
    </sheetView>
  </sheetViews>
  <sheetFormatPr defaultRowHeight="12.75"/>
  <cols>
    <col min="1" max="1" width="6.5703125" customWidth="1"/>
    <col min="2" max="2" width="11.7109375" customWidth="1"/>
    <col min="3" max="3" width="10.28515625" customWidth="1"/>
    <col min="4" max="4" width="31.28515625" customWidth="1"/>
    <col min="5" max="5" width="13" customWidth="1"/>
    <col min="6" max="6" width="17.42578125" customWidth="1"/>
    <col min="7" max="7" width="11.7109375" customWidth="1"/>
    <col min="8" max="8" width="1.5703125" style="966" customWidth="1"/>
    <col min="9" max="9" width="39.42578125" customWidth="1"/>
  </cols>
  <sheetData>
    <row r="1" spans="1:9" ht="33.6" customHeight="1" thickBot="1">
      <c r="A1" s="1083" t="s">
        <v>753</v>
      </c>
      <c r="B1" s="1293" t="s">
        <v>757</v>
      </c>
      <c r="C1" s="1293"/>
      <c r="D1" s="1293"/>
      <c r="E1" s="1293"/>
      <c r="F1" s="1293"/>
      <c r="G1" s="1441"/>
      <c r="H1" s="958"/>
      <c r="I1" s="1567" t="str">
        <f>IF(G2=" ","If system is classified as Bin 2 or higher, please fill out cell Z36 on P3 Turbidity","")</f>
        <v>If system is classified as Bin 2 or higher, please fill out cell Z36 on P3 Turbidity</v>
      </c>
    </row>
    <row r="2" spans="1:9" ht="34.5" customHeight="1" thickBot="1">
      <c r="A2" s="1437" t="s">
        <v>355</v>
      </c>
      <c r="B2" s="1437"/>
      <c r="C2" s="1437"/>
      <c r="D2" s="1437"/>
      <c r="E2" s="1437"/>
      <c r="F2" s="1437"/>
      <c r="G2" s="1566" t="str">
        <f>'P3 Turbidity'!Z38</f>
        <v xml:space="preserve"> </v>
      </c>
      <c r="H2" s="960"/>
      <c r="I2" s="753" t="str">
        <f>IF(G2="Yes","0.5 Log Credit obtained"," ")</f>
        <v xml:space="preserve"> </v>
      </c>
    </row>
    <row r="3" spans="1:9" ht="34.5" customHeight="1" thickBot="1">
      <c r="A3" s="1438" t="s">
        <v>356</v>
      </c>
      <c r="B3" s="1438"/>
      <c r="C3" s="1438"/>
      <c r="D3" s="1438"/>
      <c r="E3" s="1438"/>
      <c r="F3" s="1439"/>
      <c r="G3" s="635"/>
      <c r="H3" s="960"/>
      <c r="I3" s="711" t="str">
        <f>IF(G3="No","Complete Page 3A - Individual Filter Turbidity Exceedances"," ")</f>
        <v xml:space="preserve"> </v>
      </c>
    </row>
    <row r="4" spans="1:9" ht="34.5" customHeight="1" thickBot="1">
      <c r="A4" s="1438" t="s">
        <v>357</v>
      </c>
      <c r="B4" s="1438"/>
      <c r="C4" s="1438"/>
      <c r="D4" s="1438"/>
      <c r="E4" s="1438"/>
      <c r="F4" s="1438"/>
      <c r="G4" s="635"/>
      <c r="H4" s="960"/>
      <c r="I4" s="753" t="str">
        <f>IF(AND(G3="Yes",G4="No"),"0.5 Log Credit obtained"," ")</f>
        <v xml:space="preserve"> </v>
      </c>
    </row>
    <row r="5" spans="1:9" ht="16.899999999999999" customHeight="1">
      <c r="A5" s="350"/>
      <c r="B5" s="1436" t="s">
        <v>656</v>
      </c>
      <c r="C5" s="1436"/>
      <c r="D5" s="1436"/>
      <c r="E5" s="1436"/>
      <c r="F5" s="1436"/>
      <c r="G5" s="361"/>
      <c r="H5" s="961"/>
      <c r="I5" s="643"/>
    </row>
    <row r="6" spans="1:9" ht="16.5" customHeight="1" thickBot="1">
      <c r="A6" s="350"/>
      <c r="B6" s="1436"/>
      <c r="C6" s="1436"/>
      <c r="D6" s="1436"/>
      <c r="E6" s="1436"/>
      <c r="F6" s="1436"/>
      <c r="G6" s="418"/>
      <c r="H6" s="961"/>
      <c r="I6" s="644" t="s">
        <v>358</v>
      </c>
    </row>
    <row r="7" spans="1:9" ht="36" customHeight="1">
      <c r="A7" s="351"/>
      <c r="B7" s="1436" t="s">
        <v>359</v>
      </c>
      <c r="C7" s="1436"/>
      <c r="D7" s="1436"/>
      <c r="E7" s="1436"/>
      <c r="F7" s="1436"/>
      <c r="G7" s="1436"/>
      <c r="H7" s="954"/>
      <c r="I7" s="644" t="s">
        <v>360</v>
      </c>
    </row>
    <row r="8" spans="1:9" ht="32.25" customHeight="1">
      <c r="A8" s="351"/>
      <c r="B8" s="1433"/>
      <c r="C8" s="1434"/>
      <c r="D8" s="1434"/>
      <c r="E8" s="1434"/>
      <c r="F8" s="1434"/>
      <c r="G8" s="1435"/>
      <c r="H8" s="955"/>
      <c r="I8" s="643"/>
    </row>
    <row r="9" spans="1:9" ht="18.75" customHeight="1">
      <c r="A9" s="351"/>
      <c r="B9" s="1454" t="s">
        <v>361</v>
      </c>
      <c r="C9" s="1454"/>
      <c r="D9" s="1454"/>
      <c r="E9" s="1454"/>
      <c r="F9" s="1454"/>
      <c r="G9" s="1454"/>
      <c r="H9" s="955"/>
      <c r="I9" s="643"/>
    </row>
    <row r="10" spans="1:9" ht="18.75" customHeight="1" thickBot="1">
      <c r="A10" s="351"/>
      <c r="B10" s="800" t="s">
        <v>362</v>
      </c>
      <c r="C10" s="415"/>
      <c r="D10" s="800" t="s">
        <v>363</v>
      </c>
      <c r="E10" s="416"/>
      <c r="F10" s="800" t="s">
        <v>364</v>
      </c>
      <c r="G10" s="604"/>
      <c r="H10" s="961"/>
      <c r="I10" s="643"/>
    </row>
    <row r="11" spans="1:9" ht="16.899999999999999" customHeight="1">
      <c r="A11" s="352"/>
      <c r="B11" s="1436" t="s">
        <v>365</v>
      </c>
      <c r="C11" s="1436"/>
      <c r="D11" s="1436"/>
      <c r="E11" s="1436"/>
      <c r="F11" s="1436"/>
      <c r="G11" s="361"/>
      <c r="H11" s="1430" t="str">
        <f>IF(AND(G12&lt;2,G3="Yes",G4="Yes"),"0.5 Log Credit obtained"," ")</f>
        <v xml:space="preserve"> </v>
      </c>
      <c r="I11" s="643"/>
    </row>
    <row r="12" spans="1:9" ht="17.25" customHeight="1" thickBot="1">
      <c r="A12" s="351"/>
      <c r="B12" s="1436"/>
      <c r="C12" s="1436"/>
      <c r="D12" s="1436"/>
      <c r="E12" s="1436"/>
      <c r="F12" s="1455"/>
      <c r="G12" s="417"/>
      <c r="H12" s="1430"/>
      <c r="I12" s="643"/>
    </row>
    <row r="13" spans="1:9" ht="6" customHeight="1">
      <c r="A13" s="351"/>
      <c r="B13" s="353"/>
      <c r="C13" s="353"/>
      <c r="D13" s="353"/>
      <c r="E13" s="353"/>
      <c r="F13" s="353"/>
      <c r="G13" s="351"/>
      <c r="H13" s="961"/>
      <c r="I13" s="643"/>
    </row>
    <row r="14" spans="1:9" ht="25.9" customHeight="1" thickBot="1">
      <c r="A14" s="1432" t="s">
        <v>366</v>
      </c>
      <c r="B14" s="1432"/>
      <c r="C14" s="1432"/>
      <c r="D14" s="1432"/>
      <c r="E14" s="1432"/>
      <c r="F14" s="1432"/>
      <c r="G14" s="1432"/>
      <c r="H14" s="955"/>
      <c r="I14" s="643"/>
    </row>
    <row r="15" spans="1:9" ht="45" customHeight="1">
      <c r="A15" s="1450" t="s">
        <v>367</v>
      </c>
      <c r="B15" s="659" t="s">
        <v>226</v>
      </c>
      <c r="C15" s="1450" t="s">
        <v>368</v>
      </c>
      <c r="D15" s="1450" t="s">
        <v>369</v>
      </c>
      <c r="E15" s="659" t="s">
        <v>370</v>
      </c>
      <c r="F15" s="659" t="s">
        <v>371</v>
      </c>
      <c r="G15" s="1452" t="s">
        <v>372</v>
      </c>
      <c r="H15" s="962"/>
      <c r="I15" s="643"/>
    </row>
    <row r="16" spans="1:9" ht="13.5" thickBot="1">
      <c r="A16" s="1451"/>
      <c r="B16" s="349" t="s">
        <v>373</v>
      </c>
      <c r="C16" s="1451"/>
      <c r="D16" s="1451"/>
      <c r="E16" s="349" t="s">
        <v>374</v>
      </c>
      <c r="F16" s="349" t="s">
        <v>374</v>
      </c>
      <c r="G16" s="1453"/>
      <c r="H16" s="962"/>
      <c r="I16" s="643"/>
    </row>
    <row r="17" spans="1:9" ht="25.15" customHeight="1">
      <c r="A17" s="347" t="s">
        <v>375</v>
      </c>
      <c r="B17" s="347" t="s">
        <v>375</v>
      </c>
      <c r="C17" s="347" t="s">
        <v>375</v>
      </c>
      <c r="D17" s="347" t="s">
        <v>375</v>
      </c>
      <c r="E17" s="347" t="s">
        <v>375</v>
      </c>
      <c r="F17" s="347" t="s">
        <v>375</v>
      </c>
      <c r="G17" s="347" t="s">
        <v>375</v>
      </c>
      <c r="H17" s="955"/>
      <c r="I17" s="643"/>
    </row>
    <row r="18" spans="1:9" ht="25.15" customHeight="1">
      <c r="A18" s="348" t="s">
        <v>375</v>
      </c>
      <c r="B18" s="348" t="s">
        <v>375</v>
      </c>
      <c r="C18" s="348" t="s">
        <v>375</v>
      </c>
      <c r="D18" s="348" t="s">
        <v>375</v>
      </c>
      <c r="E18" s="348" t="s">
        <v>375</v>
      </c>
      <c r="F18" s="348" t="s">
        <v>375</v>
      </c>
      <c r="G18" s="348" t="s">
        <v>375</v>
      </c>
      <c r="H18" s="955"/>
      <c r="I18" s="643"/>
    </row>
    <row r="19" spans="1:9" ht="25.15" customHeight="1">
      <c r="A19" s="348" t="s">
        <v>375</v>
      </c>
      <c r="B19" s="348" t="s">
        <v>375</v>
      </c>
      <c r="C19" s="348" t="s">
        <v>375</v>
      </c>
      <c r="D19" s="348" t="s">
        <v>375</v>
      </c>
      <c r="E19" s="348" t="s">
        <v>375</v>
      </c>
      <c r="F19" s="348" t="s">
        <v>375</v>
      </c>
      <c r="G19" s="348" t="s">
        <v>375</v>
      </c>
      <c r="H19" s="955"/>
      <c r="I19" s="643"/>
    </row>
    <row r="20" spans="1:9" ht="25.15" customHeight="1">
      <c r="A20" s="348" t="s">
        <v>375</v>
      </c>
      <c r="B20" s="348" t="s">
        <v>375</v>
      </c>
      <c r="C20" s="348" t="s">
        <v>375</v>
      </c>
      <c r="D20" s="348" t="s">
        <v>375</v>
      </c>
      <c r="E20" s="348" t="s">
        <v>375</v>
      </c>
      <c r="F20" s="348" t="s">
        <v>375</v>
      </c>
      <c r="G20" s="348" t="s">
        <v>375</v>
      </c>
      <c r="H20" s="955"/>
      <c r="I20" s="643"/>
    </row>
    <row r="21" spans="1:9" ht="25.15" customHeight="1">
      <c r="A21" s="348" t="s">
        <v>375</v>
      </c>
      <c r="B21" s="348" t="s">
        <v>375</v>
      </c>
      <c r="C21" s="348" t="s">
        <v>375</v>
      </c>
      <c r="D21" s="348" t="s">
        <v>375</v>
      </c>
      <c r="E21" s="348" t="s">
        <v>375</v>
      </c>
      <c r="F21" s="348" t="s">
        <v>375</v>
      </c>
      <c r="G21" s="348" t="s">
        <v>375</v>
      </c>
      <c r="H21" s="955"/>
      <c r="I21" s="643"/>
    </row>
    <row r="22" spans="1:9" ht="5.25" customHeight="1">
      <c r="A22" s="354"/>
      <c r="B22" s="355"/>
      <c r="C22" s="355"/>
      <c r="D22" s="355"/>
      <c r="E22" s="355"/>
      <c r="F22" s="355"/>
      <c r="G22" s="356"/>
      <c r="H22" s="961"/>
      <c r="I22" s="643"/>
    </row>
    <row r="23" spans="1:9">
      <c r="A23" s="360" t="s">
        <v>376</v>
      </c>
      <c r="B23" s="351"/>
      <c r="C23" s="351"/>
      <c r="D23" s="351"/>
      <c r="E23" s="351"/>
      <c r="F23" s="351"/>
      <c r="G23" s="357"/>
      <c r="H23" s="961"/>
      <c r="I23" s="643"/>
    </row>
    <row r="24" spans="1:9" ht="38.25" customHeight="1">
      <c r="A24" s="1446" t="s">
        <v>377</v>
      </c>
      <c r="B24" s="1447"/>
      <c r="C24" s="1442" t="s">
        <v>378</v>
      </c>
      <c r="D24" s="1442"/>
      <c r="E24" s="1442"/>
      <c r="F24" s="1442"/>
      <c r="G24" s="1443"/>
      <c r="H24" s="956"/>
      <c r="I24" s="643"/>
    </row>
    <row r="25" spans="1:9" ht="38.25" customHeight="1">
      <c r="A25" s="1448" t="s">
        <v>379</v>
      </c>
      <c r="B25" s="1449"/>
      <c r="C25" s="1444" t="s">
        <v>380</v>
      </c>
      <c r="D25" s="1444"/>
      <c r="E25" s="1444"/>
      <c r="F25" s="1444"/>
      <c r="G25" s="1445"/>
      <c r="H25" s="956"/>
      <c r="I25" s="643"/>
    </row>
    <row r="26" spans="1:9" ht="7.9" customHeight="1">
      <c r="A26" s="358"/>
      <c r="B26" s="351"/>
      <c r="C26" s="351"/>
      <c r="D26" s="351"/>
      <c r="E26" s="351"/>
      <c r="F26" s="351"/>
      <c r="G26" s="351"/>
      <c r="H26" s="961"/>
      <c r="I26" s="643"/>
    </row>
    <row r="27" spans="1:9" ht="67.150000000000006" customHeight="1" thickBot="1">
      <c r="A27" s="1459" t="s">
        <v>381</v>
      </c>
      <c r="B27" s="1459"/>
      <c r="C27" s="1459"/>
      <c r="D27" s="1459"/>
      <c r="E27" s="1459"/>
      <c r="F27" s="1459"/>
      <c r="G27" s="1459"/>
      <c r="H27" s="955"/>
      <c r="I27" s="643"/>
    </row>
    <row r="28" spans="1:9" ht="39" thickBot="1">
      <c r="A28" s="663" t="s">
        <v>367</v>
      </c>
      <c r="B28" s="663" t="s">
        <v>382</v>
      </c>
      <c r="C28" s="663" t="s">
        <v>383</v>
      </c>
      <c r="D28" s="1460" t="s">
        <v>384</v>
      </c>
      <c r="E28" s="1460"/>
      <c r="F28" s="1460"/>
      <c r="G28" s="1460"/>
      <c r="H28" s="963"/>
      <c r="I28" s="643"/>
    </row>
    <row r="29" spans="1:9" ht="25.15" customHeight="1">
      <c r="A29" s="413" t="s">
        <v>375</v>
      </c>
      <c r="B29" s="413" t="s">
        <v>375</v>
      </c>
      <c r="C29" s="413" t="s">
        <v>375</v>
      </c>
      <c r="D29" s="1431" t="s">
        <v>375</v>
      </c>
      <c r="E29" s="1431"/>
      <c r="F29" s="1431"/>
      <c r="G29" s="1431"/>
      <c r="H29" s="955"/>
      <c r="I29" s="643"/>
    </row>
    <row r="30" spans="1:9" ht="25.15" customHeight="1">
      <c r="A30" s="414" t="s">
        <v>375</v>
      </c>
      <c r="B30" s="414" t="s">
        <v>375</v>
      </c>
      <c r="C30" s="414" t="s">
        <v>375</v>
      </c>
      <c r="D30" s="1440" t="s">
        <v>375</v>
      </c>
      <c r="E30" s="1440"/>
      <c r="F30" s="1440"/>
      <c r="G30" s="1440"/>
      <c r="H30" s="955"/>
      <c r="I30" s="643"/>
    </row>
    <row r="31" spans="1:9" ht="25.15" customHeight="1">
      <c r="A31" s="414" t="s">
        <v>375</v>
      </c>
      <c r="B31" s="414" t="s">
        <v>375</v>
      </c>
      <c r="C31" s="414" t="s">
        <v>375</v>
      </c>
      <c r="D31" s="1440" t="s">
        <v>375</v>
      </c>
      <c r="E31" s="1440"/>
      <c r="F31" s="1440"/>
      <c r="G31" s="1440"/>
      <c r="H31" s="955"/>
      <c r="I31" s="643"/>
    </row>
    <row r="32" spans="1:9" ht="8.65" customHeight="1">
      <c r="A32" s="359"/>
      <c r="B32" s="351"/>
      <c r="C32" s="351"/>
      <c r="D32" s="351"/>
      <c r="E32" s="351"/>
      <c r="F32" s="351"/>
      <c r="G32" s="351"/>
      <c r="H32" s="961"/>
      <c r="I32" s="643"/>
    </row>
    <row r="33" spans="1:9" ht="27.75" customHeight="1">
      <c r="A33" s="1458" t="s">
        <v>385</v>
      </c>
      <c r="B33" s="1458"/>
      <c r="C33" s="1458"/>
      <c r="D33" s="1458"/>
      <c r="E33" s="1458"/>
      <c r="F33" s="1458"/>
      <c r="G33" s="1458"/>
      <c r="H33" s="961"/>
      <c r="I33" s="643"/>
    </row>
    <row r="34" spans="1:9" ht="16.5">
      <c r="A34" s="359"/>
      <c r="B34" s="359" t="s">
        <v>386</v>
      </c>
      <c r="C34" s="569"/>
      <c r="D34" s="433" t="s">
        <v>387</v>
      </c>
      <c r="E34" s="569"/>
      <c r="F34" s="301"/>
      <c r="G34" s="420">
        <f>PWSID</f>
        <v>0</v>
      </c>
      <c r="H34" s="961"/>
      <c r="I34" s="643"/>
    </row>
    <row r="35" spans="1:9" ht="5.0999999999999996" customHeight="1">
      <c r="A35" s="359"/>
      <c r="B35" s="359"/>
      <c r="C35" s="301"/>
      <c r="D35" s="433"/>
      <c r="E35" s="301"/>
      <c r="F35" s="301"/>
      <c r="G35" s="664"/>
      <c r="H35" s="961"/>
      <c r="I35" s="643"/>
    </row>
    <row r="36" spans="1:9" ht="16.5">
      <c r="A36" s="359"/>
      <c r="B36" s="359" t="s">
        <v>388</v>
      </c>
      <c r="C36" s="569"/>
      <c r="D36" s="434" t="s">
        <v>389</v>
      </c>
      <c r="E36" s="569"/>
      <c r="F36" s="301"/>
      <c r="G36" s="712" t="str">
        <f>MMYYYY</f>
        <v>05/2025</v>
      </c>
      <c r="H36" s="961"/>
      <c r="I36" s="643"/>
    </row>
    <row r="37" spans="1:9" ht="5.0999999999999996" customHeight="1">
      <c r="A37" s="761"/>
      <c r="B37" s="761"/>
      <c r="C37" s="193"/>
      <c r="D37" s="749"/>
      <c r="E37" s="749"/>
      <c r="F37" s="749"/>
      <c r="G37" s="762"/>
      <c r="H37" s="961"/>
      <c r="I37" s="643"/>
    </row>
    <row r="38" spans="1:9" ht="5.0999999999999996" customHeight="1">
      <c r="A38" s="304"/>
      <c r="B38" s="304"/>
      <c r="D38" s="116"/>
      <c r="E38" s="116"/>
      <c r="F38" s="116"/>
      <c r="G38" s="645"/>
      <c r="H38" s="961"/>
      <c r="I38" s="643"/>
    </row>
    <row r="39" spans="1:9" ht="9" customHeight="1">
      <c r="A39" s="1436" t="s">
        <v>672</v>
      </c>
      <c r="B39" s="1436"/>
      <c r="C39" s="1436"/>
      <c r="D39" s="1436"/>
      <c r="E39" s="1436"/>
      <c r="F39" s="1436"/>
      <c r="G39" s="116"/>
      <c r="H39" s="959"/>
      <c r="I39" s="643"/>
    </row>
    <row r="40" spans="1:9" ht="18" customHeight="1" thickBot="1">
      <c r="A40" s="1436"/>
      <c r="B40" s="1436"/>
      <c r="C40" s="1436"/>
      <c r="D40" s="1436"/>
      <c r="E40" s="1436"/>
      <c r="F40" s="1436"/>
      <c r="G40" s="751"/>
      <c r="H40" s="964" t="str">
        <f>IF(G40="Yes","0.5 Log Credit obtained"," ")</f>
        <v xml:space="preserve"> </v>
      </c>
      <c r="I40" s="643"/>
    </row>
    <row r="41" spans="1:9" ht="20.25" customHeight="1">
      <c r="A41" s="294" t="s">
        <v>659</v>
      </c>
      <c r="B41" s="304"/>
      <c r="D41" s="116"/>
      <c r="E41" s="116"/>
      <c r="F41" s="116"/>
      <c r="G41" s="645"/>
      <c r="H41" s="961"/>
      <c r="I41" s="643"/>
    </row>
    <row r="42" spans="1:9" ht="19.899999999999999" customHeight="1">
      <c r="A42" s="304"/>
      <c r="B42" s="1457" t="s">
        <v>660</v>
      </c>
      <c r="C42" s="1457"/>
      <c r="D42" s="1457"/>
      <c r="E42" s="1457"/>
      <c r="F42" s="1457"/>
      <c r="G42" s="760"/>
      <c r="H42" s="961"/>
      <c r="I42" s="643"/>
    </row>
    <row r="43" spans="1:9" ht="49.15" customHeight="1">
      <c r="A43" s="1456" t="s">
        <v>673</v>
      </c>
      <c r="B43" s="1456"/>
      <c r="C43" s="1456"/>
      <c r="D43" s="1456"/>
      <c r="E43" s="1456"/>
      <c r="F43" s="1456"/>
      <c r="G43" s="1456"/>
      <c r="H43" s="961"/>
      <c r="I43" s="643"/>
    </row>
    <row r="44" spans="1:9" ht="8.25" customHeight="1">
      <c r="A44" s="791"/>
      <c r="B44" s="819"/>
      <c r="C44" s="791"/>
      <c r="D44" s="867"/>
      <c r="E44" s="867"/>
      <c r="F44" s="867"/>
      <c r="G44" s="957"/>
      <c r="H44" s="961"/>
      <c r="I44" s="643"/>
    </row>
    <row r="45" spans="1:9" ht="14.25">
      <c r="B45" s="303"/>
      <c r="D45" s="116"/>
      <c r="E45" s="116"/>
      <c r="F45" s="116"/>
      <c r="H45" s="953"/>
      <c r="I45" s="643"/>
    </row>
    <row r="46" spans="1:9" ht="18.75" customHeight="1">
      <c r="H46" s="965"/>
    </row>
  </sheetData>
  <sheetProtection algorithmName="SHA-512" hashValue="A9quUocXVkKmy0lhklAs8npDz2ldTWDamDu8aq7+gb2S9TiTEP5JE9UHpfX2Z1MN9BgpoiM9sM9U+uTmbYFT+Q==" saltValue="Lmni65LrkqJKUbB0G7RyTQ==" spinCount="100000" sheet="1" selectLockedCells="1"/>
  <mergeCells count="28">
    <mergeCell ref="A43:G43"/>
    <mergeCell ref="B42:F42"/>
    <mergeCell ref="A33:G33"/>
    <mergeCell ref="D31:G31"/>
    <mergeCell ref="A27:G27"/>
    <mergeCell ref="D28:G28"/>
    <mergeCell ref="A39:F40"/>
    <mergeCell ref="A2:F2"/>
    <mergeCell ref="A3:F3"/>
    <mergeCell ref="A4:F4"/>
    <mergeCell ref="D30:G30"/>
    <mergeCell ref="B1:G1"/>
    <mergeCell ref="B5:F6"/>
    <mergeCell ref="C24:G24"/>
    <mergeCell ref="C25:G25"/>
    <mergeCell ref="A24:B24"/>
    <mergeCell ref="A25:B25"/>
    <mergeCell ref="A15:A16"/>
    <mergeCell ref="C15:C16"/>
    <mergeCell ref="D15:D16"/>
    <mergeCell ref="G15:G16"/>
    <mergeCell ref="B9:G9"/>
    <mergeCell ref="B11:F12"/>
    <mergeCell ref="H11:H12"/>
    <mergeCell ref="D29:G29"/>
    <mergeCell ref="A14:G14"/>
    <mergeCell ref="B8:G8"/>
    <mergeCell ref="B7:G7"/>
  </mergeCells>
  <dataValidations count="2">
    <dataValidation type="list" allowBlank="1" showInputMessage="1" showErrorMessage="1" sqref="G6 G3:G4 G40" xr:uid="{00000000-0002-0000-0900-000000000000}">
      <formula1>$I$6:$I$7</formula1>
    </dataValidation>
    <dataValidation type="list" allowBlank="1" showInputMessage="1" showErrorMessage="1" sqref="G42" xr:uid="{73A3CEB2-14B4-43F2-9F50-1FB111B72E73}">
      <formula1>I$6:$I$7</formula1>
    </dataValidation>
  </dataValidations>
  <hyperlinks>
    <hyperlink ref="A1" location="Bookmarks!A1" display="Return to Bookmarks" xr:uid="{75CFAC2D-8F6C-47AD-B2E9-DC393D26A976}"/>
  </hyperlinks>
  <pageMargins left="1.5" right="0.7" top="0.75" bottom="0.75" header="0.3" footer="0.3"/>
  <pageSetup scale="73" orientation="portrait" r:id="rId1"/>
  <headerFooter>
    <oddHeader>&amp;LMonthly Operating Report
Bin 2 System Turbidity Monitoring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2"/>
    <pageSetUpPr fitToPage="1"/>
  </sheetPr>
  <dimension ref="A1:N44"/>
  <sheetViews>
    <sheetView showGridLines="0" zoomScale="90" zoomScaleNormal="90" workbookViewId="0">
      <selection activeCell="B2" sqref="B2"/>
    </sheetView>
  </sheetViews>
  <sheetFormatPr defaultRowHeight="12.75"/>
  <cols>
    <col min="1" max="1" width="28" customWidth="1"/>
    <col min="2" max="2" width="25.7109375" customWidth="1"/>
    <col min="3" max="3" width="28.5703125" customWidth="1"/>
    <col min="4" max="4" width="29" customWidth="1"/>
    <col min="5" max="5" width="2.42578125" customWidth="1"/>
  </cols>
  <sheetData>
    <row r="1" spans="1:5" ht="18">
      <c r="A1" s="1090" t="s">
        <v>730</v>
      </c>
      <c r="B1" s="1080" t="s">
        <v>390</v>
      </c>
      <c r="C1" s="170"/>
      <c r="D1" s="171"/>
      <c r="E1" s="791"/>
    </row>
    <row r="2" spans="1:5" ht="16.5" customHeight="1" thickBot="1">
      <c r="A2" s="967" t="s">
        <v>391</v>
      </c>
      <c r="B2" s="335"/>
      <c r="C2" s="867"/>
      <c r="D2" s="969"/>
      <c r="E2" s="791"/>
    </row>
    <row r="3" spans="1:5" ht="16.5" customHeight="1" thickBot="1">
      <c r="A3" s="967" t="s">
        <v>392</v>
      </c>
      <c r="B3" s="335"/>
      <c r="C3" s="867"/>
      <c r="D3" s="969"/>
      <c r="E3" s="791"/>
    </row>
    <row r="4" spans="1:5" ht="16.5" customHeight="1" thickBot="1">
      <c r="A4" s="967" t="s">
        <v>393</v>
      </c>
      <c r="B4" s="336"/>
      <c r="C4" s="867"/>
      <c r="D4" s="969"/>
      <c r="E4" s="791"/>
    </row>
    <row r="5" spans="1:5" ht="9.6" customHeight="1" thickBot="1">
      <c r="A5" s="968"/>
      <c r="B5" s="867"/>
      <c r="C5" s="867"/>
      <c r="D5" s="969"/>
      <c r="E5" s="791"/>
    </row>
    <row r="6" spans="1:5" ht="15" customHeight="1" thickBot="1">
      <c r="A6" s="1471" t="s">
        <v>394</v>
      </c>
      <c r="B6" s="1473" t="s">
        <v>395</v>
      </c>
      <c r="C6" s="1469" t="s">
        <v>396</v>
      </c>
      <c r="D6" s="1470"/>
      <c r="E6" s="791"/>
    </row>
    <row r="7" spans="1:5" ht="27" customHeight="1" thickBot="1">
      <c r="A7" s="1472"/>
      <c r="B7" s="1474"/>
      <c r="C7" s="970" t="s">
        <v>397</v>
      </c>
      <c r="D7" s="971" t="s">
        <v>398</v>
      </c>
      <c r="E7" s="791"/>
    </row>
    <row r="8" spans="1:5" ht="103.9" customHeight="1" thickBot="1">
      <c r="A8" s="972"/>
      <c r="B8" s="973" t="s">
        <v>399</v>
      </c>
      <c r="C8" s="974" t="s">
        <v>400</v>
      </c>
      <c r="D8" s="975" t="s">
        <v>401</v>
      </c>
      <c r="E8" s="791"/>
    </row>
    <row r="9" spans="1:5" ht="18" customHeight="1">
      <c r="A9" s="247"/>
      <c r="B9" s="173"/>
      <c r="C9" s="173"/>
      <c r="D9" s="248"/>
      <c r="E9" s="791"/>
    </row>
    <row r="10" spans="1:5" ht="18" customHeight="1">
      <c r="A10" s="249"/>
      <c r="B10" s="172"/>
      <c r="C10" s="172"/>
      <c r="D10" s="250"/>
      <c r="E10" s="791"/>
    </row>
    <row r="11" spans="1:5" ht="18" customHeight="1">
      <c r="A11" s="249"/>
      <c r="B11" s="172"/>
      <c r="C11" s="172"/>
      <c r="D11" s="250"/>
      <c r="E11" s="791"/>
    </row>
    <row r="12" spans="1:5" ht="18" customHeight="1">
      <c r="A12" s="249"/>
      <c r="B12" s="172"/>
      <c r="C12" s="172"/>
      <c r="D12" s="250"/>
      <c r="E12" s="791"/>
    </row>
    <row r="13" spans="1:5" ht="18" customHeight="1">
      <c r="A13" s="249"/>
      <c r="B13" s="172"/>
      <c r="C13" s="172"/>
      <c r="D13" s="250"/>
      <c r="E13" s="791"/>
    </row>
    <row r="14" spans="1:5" ht="18" customHeight="1">
      <c r="A14" s="249"/>
      <c r="B14" s="172"/>
      <c r="C14" s="172"/>
      <c r="D14" s="250"/>
      <c r="E14" s="791"/>
    </row>
    <row r="15" spans="1:5" ht="18" customHeight="1">
      <c r="A15" s="249"/>
      <c r="B15" s="172"/>
      <c r="C15" s="172"/>
      <c r="D15" s="250"/>
      <c r="E15" s="791"/>
    </row>
    <row r="16" spans="1:5" ht="18" customHeight="1">
      <c r="A16" s="249"/>
      <c r="B16" s="172"/>
      <c r="C16" s="172"/>
      <c r="D16" s="250"/>
      <c r="E16" s="791"/>
    </row>
    <row r="17" spans="1:6" ht="18" customHeight="1" thickBot="1">
      <c r="A17" s="251"/>
      <c r="B17" s="252"/>
      <c r="C17" s="252"/>
      <c r="D17" s="253"/>
      <c r="E17" s="791"/>
    </row>
    <row r="18" spans="1:6" ht="40.15" customHeight="1" thickBot="1">
      <c r="A18" s="503" t="s">
        <v>402</v>
      </c>
      <c r="B18" s="504">
        <f>SUM(B9:B17)</f>
        <v>0</v>
      </c>
      <c r="C18" s="505" t="s">
        <v>403</v>
      </c>
      <c r="D18" s="504">
        <f>SUM(D9:D17)</f>
        <v>0</v>
      </c>
      <c r="E18" s="791"/>
    </row>
    <row r="19" spans="1:6">
      <c r="A19" s="976"/>
      <c r="B19" s="867"/>
      <c r="C19" s="867"/>
      <c r="D19" s="969"/>
      <c r="E19" s="791"/>
    </row>
    <row r="20" spans="1:6">
      <c r="A20" s="977" t="s">
        <v>404</v>
      </c>
      <c r="B20" s="867"/>
      <c r="C20" s="867"/>
      <c r="D20" s="969"/>
      <c r="E20" s="791"/>
    </row>
    <row r="21" spans="1:6">
      <c r="A21" s="979"/>
      <c r="B21" s="980"/>
      <c r="C21" s="980"/>
      <c r="D21" s="981"/>
      <c r="E21" s="791"/>
    </row>
    <row r="22" spans="1:6" ht="18" customHeight="1">
      <c r="A22" s="509" t="s">
        <v>405</v>
      </c>
      <c r="B22" s="510"/>
      <c r="C22" s="511" t="s">
        <v>406</v>
      </c>
      <c r="D22" s="506">
        <f>D18</f>
        <v>0</v>
      </c>
      <c r="E22" s="791"/>
    </row>
    <row r="23" spans="1:6" ht="18" customHeight="1">
      <c r="A23" s="509" t="s">
        <v>407</v>
      </c>
      <c r="B23" s="510"/>
      <c r="C23" s="511" t="s">
        <v>408</v>
      </c>
      <c r="D23" s="507">
        <f>B18</f>
        <v>0</v>
      </c>
      <c r="E23" s="791"/>
    </row>
    <row r="24" spans="1:6" ht="27" customHeight="1">
      <c r="A24" s="1479" t="s">
        <v>409</v>
      </c>
      <c r="B24" s="1480"/>
      <c r="C24" s="511" t="s">
        <v>410</v>
      </c>
      <c r="D24" s="508" t="str">
        <f>IFERROR((D18/B18)*100,"0%")</f>
        <v>0%</v>
      </c>
      <c r="E24" s="791"/>
      <c r="F24" s="168" t="s">
        <v>123</v>
      </c>
    </row>
    <row r="25" spans="1:6" ht="30.75" customHeight="1">
      <c r="A25" s="1477" t="s">
        <v>411</v>
      </c>
      <c r="B25" s="1478"/>
      <c r="C25" s="1478"/>
      <c r="D25" s="245"/>
      <c r="E25" s="791"/>
      <c r="F25" s="168" t="s">
        <v>125</v>
      </c>
    </row>
    <row r="26" spans="1:6">
      <c r="A26" s="246"/>
      <c r="D26" s="192"/>
      <c r="E26" s="791"/>
      <c r="F26" s="168"/>
    </row>
    <row r="27" spans="1:6" ht="16.149999999999999" customHeight="1" thickBot="1">
      <c r="A27" s="191"/>
      <c r="B27" s="244" t="s">
        <v>412</v>
      </c>
      <c r="C27" s="337"/>
      <c r="D27" s="192"/>
      <c r="E27" s="791"/>
    </row>
    <row r="28" spans="1:6" ht="16.149999999999999" customHeight="1" thickBot="1">
      <c r="A28" s="191"/>
      <c r="B28" s="244" t="s">
        <v>413</v>
      </c>
      <c r="C28" s="338"/>
      <c r="D28" s="192"/>
      <c r="E28" s="791"/>
    </row>
    <row r="29" spans="1:6" ht="16.149999999999999" customHeight="1">
      <c r="A29" s="1467"/>
      <c r="B29" s="1468"/>
      <c r="D29" s="192"/>
      <c r="E29" s="791"/>
    </row>
    <row r="30" spans="1:6" ht="28.5" customHeight="1" thickBot="1">
      <c r="A30" s="1475" t="s">
        <v>414</v>
      </c>
      <c r="B30" s="1476"/>
      <c r="C30" s="337"/>
      <c r="D30" s="192"/>
      <c r="E30" s="791"/>
    </row>
    <row r="31" spans="1:6" ht="15.75" customHeight="1">
      <c r="A31" s="1463"/>
      <c r="B31" s="1464"/>
      <c r="D31" s="192"/>
      <c r="E31" s="791"/>
    </row>
    <row r="32" spans="1:6" ht="27" customHeight="1">
      <c r="A32" s="1461"/>
      <c r="B32" s="1462"/>
      <c r="C32" s="283"/>
      <c r="D32" s="192"/>
      <c r="E32" s="791"/>
    </row>
    <row r="33" spans="1:14" ht="27" customHeight="1">
      <c r="A33" s="1463"/>
      <c r="B33" s="1464"/>
      <c r="C33" s="1465"/>
      <c r="D33" s="1466"/>
      <c r="E33" s="791"/>
    </row>
    <row r="34" spans="1:14" ht="23.25" customHeight="1">
      <c r="A34" s="442" t="s">
        <v>415</v>
      </c>
      <c r="B34" s="116"/>
      <c r="D34" s="192"/>
      <c r="E34" s="791"/>
    </row>
    <row r="35" spans="1:14" ht="16.149999999999999" customHeight="1">
      <c r="A35" s="978" t="s">
        <v>394</v>
      </c>
      <c r="B35" s="978" t="s">
        <v>416</v>
      </c>
      <c r="D35" s="192"/>
      <c r="E35" s="791"/>
    </row>
    <row r="36" spans="1:14" ht="16.149999999999999" customHeight="1">
      <c r="A36" s="174"/>
      <c r="B36" s="174"/>
      <c r="D36" s="192"/>
      <c r="E36" s="791"/>
    </row>
    <row r="37" spans="1:14" ht="16.149999999999999" customHeight="1">
      <c r="A37" s="174"/>
      <c r="B37" s="174"/>
      <c r="D37" s="192"/>
      <c r="E37" s="791"/>
    </row>
    <row r="38" spans="1:14" ht="16.149999999999999" customHeight="1">
      <c r="A38" s="174"/>
      <c r="B38" s="174"/>
      <c r="D38" s="192"/>
      <c r="E38" s="791"/>
    </row>
    <row r="39" spans="1:14" ht="16.149999999999999" customHeight="1">
      <c r="A39" s="174"/>
      <c r="B39" s="174"/>
      <c r="D39" s="192"/>
      <c r="E39" s="791"/>
    </row>
    <row r="40" spans="1:14" ht="16.149999999999999" customHeight="1">
      <c r="A40" s="174"/>
      <c r="B40" s="174"/>
      <c r="D40" s="339">
        <f>PWSID</f>
        <v>0</v>
      </c>
      <c r="E40" s="791"/>
    </row>
    <row r="41" spans="1:14" ht="16.149999999999999" customHeight="1">
      <c r="A41" s="174"/>
      <c r="B41" s="174"/>
      <c r="C41" s="193"/>
      <c r="D41" s="340" t="str">
        <f>MMYYYY</f>
        <v>05/2025</v>
      </c>
      <c r="E41" s="791"/>
    </row>
    <row r="42" spans="1:14">
      <c r="A42" s="791"/>
      <c r="B42" s="791"/>
      <c r="C42" s="791"/>
      <c r="D42" s="791"/>
      <c r="E42" s="791"/>
    </row>
    <row r="44" spans="1:14">
      <c r="M44" s="168" t="str">
        <f>MMYYYY</f>
        <v>05/2025</v>
      </c>
      <c r="N44" s="168">
        <f>PWSID</f>
        <v>0</v>
      </c>
    </row>
  </sheetData>
  <sheetProtection algorithmName="SHA-512" hashValue="+28zIqBU5wGD/CXfW8PP2dveOks+ENo5AFak+7pA91v7fncYTfyBkUs4AJpNUhGghM1mdmwGq3pZtfQ+afbScw==" saltValue="TNHkhN/GgWWFOjQcI9dhaw==" spinCount="100000" sheet="1" insertRows="0" deleteRows="0" selectLockedCells="1"/>
  <mergeCells count="11">
    <mergeCell ref="C6:D6"/>
    <mergeCell ref="A6:A7"/>
    <mergeCell ref="B6:B7"/>
    <mergeCell ref="A30:B30"/>
    <mergeCell ref="A25:C25"/>
    <mergeCell ref="A24:B24"/>
    <mergeCell ref="A32:B32"/>
    <mergeCell ref="A33:B33"/>
    <mergeCell ref="C33:D33"/>
    <mergeCell ref="A29:B29"/>
    <mergeCell ref="A31:B31"/>
  </mergeCells>
  <dataValidations count="1">
    <dataValidation type="list" allowBlank="1" showInputMessage="1" showErrorMessage="1" sqref="D25 C32" xr:uid="{00000000-0002-0000-0A00-000000000000}">
      <formula1>$F$24:$F$25</formula1>
    </dataValidation>
  </dataValidations>
  <hyperlinks>
    <hyperlink ref="A1" location="Bookmarks!A1" display="Return to Bookmarks" xr:uid="{4ECC2254-FD1C-44ED-B7A7-2F216E427E3C}"/>
  </hyperlinks>
  <printOptions verticalCentered="1"/>
  <pageMargins left="1.2" right="0.7" top="0.75" bottom="0.75" header="0.3" footer="0.3"/>
  <pageSetup scale="76" fitToHeight="0" orientation="portrait" horizontalDpi="1200" verticalDpi="1200" r:id="rId1"/>
  <headerFooter>
    <oddHeader>&amp;LMonthly Operating Report
UV Report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4FE4-B559-4B0C-A6AC-735892098907}">
  <sheetPr>
    <tabColor theme="2"/>
  </sheetPr>
  <dimension ref="A1:P44"/>
  <sheetViews>
    <sheetView topLeftCell="A18" zoomScaleNormal="100" workbookViewId="0">
      <selection activeCell="B5" sqref="B5"/>
    </sheetView>
  </sheetViews>
  <sheetFormatPr defaultRowHeight="12.75"/>
  <cols>
    <col min="1" max="1" width="8.5703125" customWidth="1"/>
    <col min="2" max="2" width="14.7109375" customWidth="1"/>
    <col min="3" max="3" width="11.7109375" customWidth="1"/>
    <col min="4" max="4" width="14.7109375" customWidth="1"/>
    <col min="5" max="5" width="11.7109375" customWidth="1"/>
    <col min="6" max="6" width="14.7109375" customWidth="1"/>
    <col min="7" max="7" width="11.7109375" customWidth="1"/>
    <col min="8" max="8" width="14.7109375" customWidth="1"/>
    <col min="9" max="9" width="11.7109375" customWidth="1"/>
    <col min="10" max="10" width="14.7109375" customWidth="1"/>
    <col min="11" max="11" width="11.7109375" customWidth="1"/>
    <col min="12" max="12" width="14.7109375" customWidth="1"/>
    <col min="13" max="13" width="11.7109375" customWidth="1"/>
    <col min="14" max="14" width="14.7109375" customWidth="1"/>
    <col min="15" max="15" width="11.7109375" customWidth="1"/>
    <col min="16" max="16" width="2.140625" customWidth="1"/>
  </cols>
  <sheetData>
    <row r="1" spans="1:16" ht="23.45" customHeight="1">
      <c r="A1" s="1083" t="s">
        <v>730</v>
      </c>
      <c r="B1" s="765" t="s">
        <v>653</v>
      </c>
      <c r="C1" s="697"/>
      <c r="D1" s="697"/>
      <c r="E1" s="697"/>
      <c r="F1" s="697"/>
      <c r="G1" s="697"/>
      <c r="H1" s="697"/>
      <c r="I1" s="697"/>
      <c r="J1" s="697"/>
      <c r="K1" s="697"/>
      <c r="L1" s="697"/>
      <c r="M1" s="697"/>
      <c r="N1" s="697">
        <f>PWSID</f>
        <v>0</v>
      </c>
      <c r="O1" s="770" t="str">
        <f>MMYYYY</f>
        <v>05/2025</v>
      </c>
      <c r="P1" s="791"/>
    </row>
    <row r="2" spans="1:16" ht="19.149999999999999" customHeight="1">
      <c r="A2" s="982"/>
      <c r="B2" s="1482" t="s">
        <v>642</v>
      </c>
      <c r="C2" s="1481"/>
      <c r="D2" s="1180" t="s">
        <v>643</v>
      </c>
      <c r="E2" s="1481"/>
      <c r="F2" s="1180" t="s">
        <v>644</v>
      </c>
      <c r="G2" s="1481"/>
      <c r="H2" s="1483" t="s">
        <v>645</v>
      </c>
      <c r="I2" s="1481"/>
      <c r="J2" s="1180" t="s">
        <v>646</v>
      </c>
      <c r="K2" s="1481"/>
      <c r="L2" s="1180" t="s">
        <v>647</v>
      </c>
      <c r="M2" s="1481"/>
      <c r="N2" s="1180" t="s">
        <v>657</v>
      </c>
      <c r="O2" s="1481"/>
      <c r="P2" s="791"/>
    </row>
    <row r="3" spans="1:16">
      <c r="A3" s="982"/>
      <c r="B3" s="983" t="s">
        <v>655</v>
      </c>
      <c r="C3" s="984" t="s">
        <v>641</v>
      </c>
      <c r="D3" s="983" t="s">
        <v>655</v>
      </c>
      <c r="E3" s="985" t="s">
        <v>641</v>
      </c>
      <c r="F3" s="983" t="s">
        <v>655</v>
      </c>
      <c r="G3" s="986" t="s">
        <v>641</v>
      </c>
      <c r="H3" s="983" t="s">
        <v>655</v>
      </c>
      <c r="I3" s="985" t="s">
        <v>641</v>
      </c>
      <c r="J3" s="983" t="s">
        <v>655</v>
      </c>
      <c r="K3" s="985" t="s">
        <v>641</v>
      </c>
      <c r="L3" s="983" t="s">
        <v>655</v>
      </c>
      <c r="M3" s="985" t="s">
        <v>641</v>
      </c>
      <c r="N3" s="983" t="s">
        <v>655</v>
      </c>
      <c r="O3" s="985" t="s">
        <v>641</v>
      </c>
      <c r="P3" s="791"/>
    </row>
    <row r="4" spans="1:16" ht="15.75" thickBot="1">
      <c r="A4" s="987" t="s">
        <v>58</v>
      </c>
      <c r="B4" s="988" t="s">
        <v>648</v>
      </c>
      <c r="C4" s="989" t="s">
        <v>648</v>
      </c>
      <c r="D4" s="990" t="s">
        <v>648</v>
      </c>
      <c r="E4" s="989" t="s">
        <v>648</v>
      </c>
      <c r="F4" s="990" t="s">
        <v>648</v>
      </c>
      <c r="G4" s="989" t="s">
        <v>648</v>
      </c>
      <c r="H4" s="990" t="s">
        <v>648</v>
      </c>
      <c r="I4" s="989" t="s">
        <v>648</v>
      </c>
      <c r="J4" s="990" t="s">
        <v>648</v>
      </c>
      <c r="K4" s="989" t="s">
        <v>648</v>
      </c>
      <c r="L4" s="990" t="s">
        <v>648</v>
      </c>
      <c r="M4" s="989" t="s">
        <v>648</v>
      </c>
      <c r="N4" s="990" t="s">
        <v>648</v>
      </c>
      <c r="O4" s="989" t="s">
        <v>648</v>
      </c>
      <c r="P4" s="791"/>
    </row>
    <row r="5" spans="1:16" ht="14.25">
      <c r="A5" s="198">
        <v>1</v>
      </c>
      <c r="B5" s="763"/>
      <c r="C5" s="768"/>
      <c r="D5" s="763"/>
      <c r="E5" s="768"/>
      <c r="F5" s="763"/>
      <c r="G5" s="768"/>
      <c r="H5" s="763"/>
      <c r="I5" s="768"/>
      <c r="J5" s="763"/>
      <c r="K5" s="768"/>
      <c r="L5" s="763"/>
      <c r="M5" s="768"/>
      <c r="N5" s="763"/>
      <c r="O5" s="768"/>
      <c r="P5" s="791"/>
    </row>
    <row r="6" spans="1:16" ht="14.25">
      <c r="A6" s="198">
        <v>2</v>
      </c>
      <c r="B6" s="763"/>
      <c r="C6" s="768"/>
      <c r="D6" s="763"/>
      <c r="E6" s="768"/>
      <c r="F6" s="763"/>
      <c r="G6" s="768"/>
      <c r="H6" s="763"/>
      <c r="I6" s="768"/>
      <c r="J6" s="763"/>
      <c r="K6" s="768"/>
      <c r="L6" s="763"/>
      <c r="M6" s="768"/>
      <c r="N6" s="763"/>
      <c r="O6" s="768"/>
      <c r="P6" s="791"/>
    </row>
    <row r="7" spans="1:16" ht="14.25">
      <c r="A7" s="198">
        <v>3</v>
      </c>
      <c r="B7" s="763"/>
      <c r="C7" s="768"/>
      <c r="D7" s="763"/>
      <c r="E7" s="768"/>
      <c r="F7" s="763"/>
      <c r="G7" s="768"/>
      <c r="H7" s="763"/>
      <c r="I7" s="768"/>
      <c r="J7" s="763"/>
      <c r="K7" s="768"/>
      <c r="L7" s="763"/>
      <c r="M7" s="768"/>
      <c r="N7" s="763"/>
      <c r="O7" s="768"/>
      <c r="P7" s="791"/>
    </row>
    <row r="8" spans="1:16" ht="14.25">
      <c r="A8" s="198">
        <v>4</v>
      </c>
      <c r="B8" s="763"/>
      <c r="C8" s="768"/>
      <c r="D8" s="763"/>
      <c r="E8" s="768"/>
      <c r="F8" s="763"/>
      <c r="G8" s="768"/>
      <c r="H8" s="763"/>
      <c r="I8" s="768"/>
      <c r="J8" s="763"/>
      <c r="K8" s="768"/>
      <c r="L8" s="763"/>
      <c r="M8" s="768"/>
      <c r="N8" s="763"/>
      <c r="O8" s="768"/>
      <c r="P8" s="791"/>
    </row>
    <row r="9" spans="1:16" ht="14.25">
      <c r="A9" s="198">
        <v>5</v>
      </c>
      <c r="B9" s="763"/>
      <c r="C9" s="768"/>
      <c r="D9" s="763"/>
      <c r="E9" s="768"/>
      <c r="F9" s="763"/>
      <c r="G9" s="768"/>
      <c r="H9" s="763"/>
      <c r="I9" s="768"/>
      <c r="J9" s="763"/>
      <c r="K9" s="768"/>
      <c r="L9" s="763"/>
      <c r="M9" s="768"/>
      <c r="N9" s="763"/>
      <c r="O9" s="768"/>
      <c r="P9" s="791"/>
    </row>
    <row r="10" spans="1:16" ht="14.25">
      <c r="A10" s="198">
        <v>6</v>
      </c>
      <c r="B10" s="763"/>
      <c r="C10" s="768"/>
      <c r="D10" s="763"/>
      <c r="E10" s="768"/>
      <c r="F10" s="763"/>
      <c r="G10" s="768"/>
      <c r="H10" s="763"/>
      <c r="I10" s="768"/>
      <c r="J10" s="763"/>
      <c r="K10" s="768"/>
      <c r="L10" s="763"/>
      <c r="M10" s="768"/>
      <c r="N10" s="763"/>
      <c r="O10" s="768"/>
      <c r="P10" s="791"/>
    </row>
    <row r="11" spans="1:16" ht="14.25">
      <c r="A11" s="198">
        <v>7</v>
      </c>
      <c r="B11" s="763"/>
      <c r="C11" s="768"/>
      <c r="D11" s="766"/>
      <c r="E11" s="768"/>
      <c r="F11" s="766"/>
      <c r="G11" s="768"/>
      <c r="H11" s="766"/>
      <c r="I11" s="768"/>
      <c r="J11" s="766"/>
      <c r="K11" s="768"/>
      <c r="L11" s="766"/>
      <c r="M11" s="768"/>
      <c r="N11" s="766"/>
      <c r="O11" s="768"/>
      <c r="P11" s="791"/>
    </row>
    <row r="12" spans="1:16" ht="14.25">
      <c r="A12" s="198">
        <v>8</v>
      </c>
      <c r="B12" s="763"/>
      <c r="C12" s="768"/>
      <c r="D12" s="766"/>
      <c r="E12" s="768"/>
      <c r="F12" s="766"/>
      <c r="G12" s="768"/>
      <c r="H12" s="766"/>
      <c r="I12" s="768"/>
      <c r="J12" s="766"/>
      <c r="K12" s="768"/>
      <c r="L12" s="766"/>
      <c r="M12" s="768"/>
      <c r="N12" s="766"/>
      <c r="O12" s="768"/>
      <c r="P12" s="791"/>
    </row>
    <row r="13" spans="1:16" ht="14.25">
      <c r="A13" s="198">
        <v>9</v>
      </c>
      <c r="B13" s="763"/>
      <c r="C13" s="768"/>
      <c r="D13" s="766"/>
      <c r="E13" s="768"/>
      <c r="F13" s="766"/>
      <c r="G13" s="768"/>
      <c r="H13" s="766"/>
      <c r="I13" s="768"/>
      <c r="J13" s="766"/>
      <c r="K13" s="768"/>
      <c r="L13" s="766"/>
      <c r="M13" s="768"/>
      <c r="N13" s="766"/>
      <c r="O13" s="768"/>
      <c r="P13" s="791"/>
    </row>
    <row r="14" spans="1:16" ht="14.25">
      <c r="A14" s="198">
        <v>10</v>
      </c>
      <c r="B14" s="763"/>
      <c r="C14" s="768"/>
      <c r="D14" s="766"/>
      <c r="E14" s="768"/>
      <c r="F14" s="766"/>
      <c r="G14" s="768"/>
      <c r="H14" s="766"/>
      <c r="I14" s="768"/>
      <c r="J14" s="766"/>
      <c r="K14" s="768"/>
      <c r="L14" s="766"/>
      <c r="M14" s="768"/>
      <c r="N14" s="766"/>
      <c r="O14" s="768"/>
      <c r="P14" s="791"/>
    </row>
    <row r="15" spans="1:16" ht="14.25">
      <c r="A15" s="198">
        <v>11</v>
      </c>
      <c r="B15" s="763"/>
      <c r="C15" s="768"/>
      <c r="D15" s="766"/>
      <c r="E15" s="768"/>
      <c r="F15" s="766"/>
      <c r="G15" s="768"/>
      <c r="H15" s="766"/>
      <c r="I15" s="768"/>
      <c r="J15" s="766"/>
      <c r="K15" s="768"/>
      <c r="L15" s="766"/>
      <c r="M15" s="768"/>
      <c r="N15" s="766"/>
      <c r="O15" s="768"/>
      <c r="P15" s="791"/>
    </row>
    <row r="16" spans="1:16" ht="14.25">
      <c r="A16" s="198">
        <v>12</v>
      </c>
      <c r="B16" s="763"/>
      <c r="C16" s="768"/>
      <c r="D16" s="766"/>
      <c r="E16" s="768"/>
      <c r="F16" s="766"/>
      <c r="G16" s="768"/>
      <c r="H16" s="766"/>
      <c r="I16" s="768"/>
      <c r="J16" s="766"/>
      <c r="K16" s="768"/>
      <c r="L16" s="766"/>
      <c r="M16" s="768"/>
      <c r="N16" s="766"/>
      <c r="O16" s="768"/>
      <c r="P16" s="791"/>
    </row>
    <row r="17" spans="1:16" ht="14.25">
      <c r="A17" s="198">
        <v>13</v>
      </c>
      <c r="B17" s="763"/>
      <c r="C17" s="768"/>
      <c r="D17" s="766"/>
      <c r="E17" s="768"/>
      <c r="F17" s="766"/>
      <c r="G17" s="768"/>
      <c r="H17" s="766"/>
      <c r="I17" s="768"/>
      <c r="J17" s="766"/>
      <c r="K17" s="768"/>
      <c r="L17" s="766"/>
      <c r="M17" s="768"/>
      <c r="N17" s="766"/>
      <c r="O17" s="768"/>
      <c r="P17" s="791"/>
    </row>
    <row r="18" spans="1:16" ht="14.25">
      <c r="A18" s="198">
        <v>14</v>
      </c>
      <c r="B18" s="763"/>
      <c r="C18" s="768"/>
      <c r="D18" s="766"/>
      <c r="E18" s="768"/>
      <c r="F18" s="766"/>
      <c r="G18" s="768"/>
      <c r="H18" s="766"/>
      <c r="I18" s="768"/>
      <c r="J18" s="766"/>
      <c r="K18" s="768"/>
      <c r="L18" s="766"/>
      <c r="M18" s="768"/>
      <c r="N18" s="766"/>
      <c r="O18" s="768"/>
      <c r="P18" s="791"/>
    </row>
    <row r="19" spans="1:16" ht="14.25">
      <c r="A19" s="198">
        <v>15</v>
      </c>
      <c r="B19" s="763"/>
      <c r="C19" s="768"/>
      <c r="D19" s="766"/>
      <c r="E19" s="768"/>
      <c r="F19" s="766"/>
      <c r="G19" s="768"/>
      <c r="H19" s="766"/>
      <c r="I19" s="768"/>
      <c r="J19" s="766"/>
      <c r="K19" s="768"/>
      <c r="L19" s="766"/>
      <c r="M19" s="768"/>
      <c r="N19" s="766"/>
      <c r="O19" s="768"/>
      <c r="P19" s="791"/>
    </row>
    <row r="20" spans="1:16" ht="14.25">
      <c r="A20" s="198">
        <v>16</v>
      </c>
      <c r="B20" s="763"/>
      <c r="C20" s="768"/>
      <c r="D20" s="766"/>
      <c r="E20" s="768"/>
      <c r="F20" s="766"/>
      <c r="G20" s="768"/>
      <c r="H20" s="766"/>
      <c r="I20" s="768"/>
      <c r="J20" s="766"/>
      <c r="K20" s="768"/>
      <c r="L20" s="766"/>
      <c r="M20" s="768"/>
      <c r="N20" s="766"/>
      <c r="O20" s="768"/>
      <c r="P20" s="791"/>
    </row>
    <row r="21" spans="1:16" ht="14.25">
      <c r="A21" s="198">
        <v>17</v>
      </c>
      <c r="B21" s="763"/>
      <c r="C21" s="768"/>
      <c r="D21" s="766"/>
      <c r="E21" s="768"/>
      <c r="F21" s="766"/>
      <c r="G21" s="768"/>
      <c r="H21" s="766"/>
      <c r="I21" s="768"/>
      <c r="J21" s="766"/>
      <c r="K21" s="768"/>
      <c r="L21" s="766"/>
      <c r="M21" s="768"/>
      <c r="N21" s="766"/>
      <c r="O21" s="768"/>
      <c r="P21" s="791"/>
    </row>
    <row r="22" spans="1:16" ht="14.25">
      <c r="A22" s="198">
        <v>18</v>
      </c>
      <c r="B22" s="763"/>
      <c r="C22" s="768"/>
      <c r="D22" s="766"/>
      <c r="E22" s="768"/>
      <c r="F22" s="766"/>
      <c r="G22" s="768"/>
      <c r="H22" s="766"/>
      <c r="I22" s="768"/>
      <c r="J22" s="766"/>
      <c r="K22" s="768"/>
      <c r="L22" s="766"/>
      <c r="M22" s="768"/>
      <c r="N22" s="766"/>
      <c r="O22" s="768"/>
      <c r="P22" s="791"/>
    </row>
    <row r="23" spans="1:16" ht="14.25">
      <c r="A23" s="198">
        <v>19</v>
      </c>
      <c r="B23" s="763"/>
      <c r="C23" s="768"/>
      <c r="D23" s="766"/>
      <c r="E23" s="768"/>
      <c r="F23" s="766"/>
      <c r="G23" s="768"/>
      <c r="H23" s="766"/>
      <c r="I23" s="768"/>
      <c r="J23" s="766"/>
      <c r="K23" s="768"/>
      <c r="L23" s="766"/>
      <c r="M23" s="768"/>
      <c r="N23" s="766"/>
      <c r="O23" s="768"/>
      <c r="P23" s="791"/>
    </row>
    <row r="24" spans="1:16" ht="14.25">
      <c r="A24" s="198">
        <v>20</v>
      </c>
      <c r="B24" s="763"/>
      <c r="C24" s="768"/>
      <c r="D24" s="766"/>
      <c r="E24" s="768"/>
      <c r="F24" s="766"/>
      <c r="G24" s="768"/>
      <c r="H24" s="766"/>
      <c r="I24" s="768"/>
      <c r="J24" s="766"/>
      <c r="K24" s="768"/>
      <c r="L24" s="766"/>
      <c r="M24" s="768"/>
      <c r="N24" s="766"/>
      <c r="O24" s="768"/>
      <c r="P24" s="791"/>
    </row>
    <row r="25" spans="1:16" ht="14.25">
      <c r="A25" s="198">
        <v>21</v>
      </c>
      <c r="B25" s="763"/>
      <c r="C25" s="768"/>
      <c r="D25" s="766"/>
      <c r="E25" s="768"/>
      <c r="F25" s="766"/>
      <c r="G25" s="768"/>
      <c r="H25" s="766"/>
      <c r="I25" s="768"/>
      <c r="J25" s="766"/>
      <c r="K25" s="768"/>
      <c r="L25" s="766"/>
      <c r="M25" s="768"/>
      <c r="N25" s="766"/>
      <c r="O25" s="768"/>
      <c r="P25" s="791"/>
    </row>
    <row r="26" spans="1:16" ht="14.25">
      <c r="A26" s="198">
        <v>22</v>
      </c>
      <c r="B26" s="763"/>
      <c r="C26" s="768"/>
      <c r="D26" s="766"/>
      <c r="E26" s="768"/>
      <c r="F26" s="766"/>
      <c r="G26" s="768"/>
      <c r="H26" s="766"/>
      <c r="I26" s="768"/>
      <c r="J26" s="766"/>
      <c r="K26" s="768"/>
      <c r="L26" s="766"/>
      <c r="M26" s="768"/>
      <c r="N26" s="766"/>
      <c r="O26" s="768"/>
      <c r="P26" s="791"/>
    </row>
    <row r="27" spans="1:16" ht="14.25">
      <c r="A27" s="198">
        <v>23</v>
      </c>
      <c r="B27" s="763"/>
      <c r="C27" s="768"/>
      <c r="D27" s="766"/>
      <c r="E27" s="768"/>
      <c r="F27" s="766"/>
      <c r="G27" s="768"/>
      <c r="H27" s="766"/>
      <c r="I27" s="768"/>
      <c r="J27" s="766"/>
      <c r="K27" s="768"/>
      <c r="L27" s="766"/>
      <c r="M27" s="768"/>
      <c r="N27" s="766"/>
      <c r="O27" s="768"/>
      <c r="P27" s="791"/>
    </row>
    <row r="28" spans="1:16" ht="14.25">
      <c r="A28" s="198">
        <v>24</v>
      </c>
      <c r="B28" s="763"/>
      <c r="C28" s="768"/>
      <c r="D28" s="766"/>
      <c r="E28" s="768"/>
      <c r="F28" s="766"/>
      <c r="G28" s="768"/>
      <c r="H28" s="766"/>
      <c r="I28" s="768"/>
      <c r="J28" s="766"/>
      <c r="K28" s="768"/>
      <c r="L28" s="766"/>
      <c r="M28" s="768"/>
      <c r="N28" s="766"/>
      <c r="O28" s="768"/>
      <c r="P28" s="791"/>
    </row>
    <row r="29" spans="1:16" ht="14.25">
      <c r="A29" s="198">
        <v>25</v>
      </c>
      <c r="B29" s="763"/>
      <c r="C29" s="768"/>
      <c r="D29" s="766"/>
      <c r="E29" s="768"/>
      <c r="F29" s="766"/>
      <c r="G29" s="768"/>
      <c r="H29" s="766"/>
      <c r="I29" s="768"/>
      <c r="J29" s="766"/>
      <c r="K29" s="768"/>
      <c r="L29" s="766"/>
      <c r="M29" s="768"/>
      <c r="N29" s="766"/>
      <c r="O29" s="768"/>
      <c r="P29" s="791"/>
    </row>
    <row r="30" spans="1:16" ht="14.25">
      <c r="A30" s="198">
        <v>26</v>
      </c>
      <c r="B30" s="763"/>
      <c r="C30" s="768"/>
      <c r="D30" s="766"/>
      <c r="E30" s="768"/>
      <c r="F30" s="766"/>
      <c r="G30" s="768"/>
      <c r="H30" s="766"/>
      <c r="I30" s="768"/>
      <c r="J30" s="766"/>
      <c r="K30" s="768"/>
      <c r="L30" s="766"/>
      <c r="M30" s="768"/>
      <c r="N30" s="766"/>
      <c r="O30" s="768"/>
      <c r="P30" s="791"/>
    </row>
    <row r="31" spans="1:16" ht="14.25">
      <c r="A31" s="198">
        <v>27</v>
      </c>
      <c r="B31" s="763"/>
      <c r="C31" s="768"/>
      <c r="D31" s="766"/>
      <c r="E31" s="768"/>
      <c r="F31" s="766"/>
      <c r="G31" s="768"/>
      <c r="H31" s="766"/>
      <c r="I31" s="768"/>
      <c r="J31" s="766"/>
      <c r="K31" s="768"/>
      <c r="L31" s="766"/>
      <c r="M31" s="768"/>
      <c r="N31" s="766"/>
      <c r="O31" s="768"/>
      <c r="P31" s="791"/>
    </row>
    <row r="32" spans="1:16" ht="14.25">
      <c r="A32" s="198">
        <v>28</v>
      </c>
      <c r="B32" s="763"/>
      <c r="C32" s="768"/>
      <c r="D32" s="766"/>
      <c r="E32" s="768"/>
      <c r="F32" s="766"/>
      <c r="G32" s="768"/>
      <c r="H32" s="766"/>
      <c r="I32" s="768"/>
      <c r="J32" s="766"/>
      <c r="K32" s="768"/>
      <c r="L32" s="766"/>
      <c r="M32" s="768"/>
      <c r="N32" s="766"/>
      <c r="O32" s="768"/>
      <c r="P32" s="791"/>
    </row>
    <row r="33" spans="1:16" ht="14.25">
      <c r="A33" s="198">
        <v>29</v>
      </c>
      <c r="B33" s="763"/>
      <c r="C33" s="768"/>
      <c r="D33" s="766"/>
      <c r="E33" s="768"/>
      <c r="F33" s="766"/>
      <c r="G33" s="768"/>
      <c r="H33" s="766"/>
      <c r="I33" s="768"/>
      <c r="J33" s="766"/>
      <c r="K33" s="768"/>
      <c r="L33" s="766"/>
      <c r="M33" s="768"/>
      <c r="N33" s="766"/>
      <c r="O33" s="768"/>
      <c r="P33" s="791"/>
    </row>
    <row r="34" spans="1:16" ht="12.6" customHeight="1">
      <c r="A34" s="198">
        <v>30</v>
      </c>
      <c r="B34" s="763"/>
      <c r="C34" s="768"/>
      <c r="D34" s="766"/>
      <c r="E34" s="768"/>
      <c r="F34" s="766"/>
      <c r="G34" s="768"/>
      <c r="H34" s="766"/>
      <c r="I34" s="768"/>
      <c r="J34" s="766"/>
      <c r="K34" s="768"/>
      <c r="L34" s="766"/>
      <c r="M34" s="768"/>
      <c r="N34" s="766"/>
      <c r="O34" s="768"/>
      <c r="P34" s="791"/>
    </row>
    <row r="35" spans="1:16" ht="15" thickBot="1">
      <c r="A35" s="199">
        <v>31</v>
      </c>
      <c r="B35" s="764"/>
      <c r="C35" s="769"/>
      <c r="D35" s="767"/>
      <c r="E35" s="769"/>
      <c r="F35" s="767"/>
      <c r="G35" s="769"/>
      <c r="H35" s="767"/>
      <c r="I35" s="769"/>
      <c r="J35" s="767"/>
      <c r="K35" s="769"/>
      <c r="L35" s="767"/>
      <c r="M35" s="769"/>
      <c r="N35" s="767"/>
      <c r="O35" s="769"/>
      <c r="P35" s="791"/>
    </row>
    <row r="36" spans="1:16" s="91" customFormat="1" ht="20.45" customHeight="1" thickBot="1">
      <c r="A36" s="991" t="s">
        <v>82</v>
      </c>
      <c r="B36" s="992" t="str">
        <f t="shared" ref="B36:L36" si="0">IFERROR(AVERAGE(B5:B35), " ")</f>
        <v xml:space="preserve"> </v>
      </c>
      <c r="C36" s="993"/>
      <c r="D36" s="994" t="str">
        <f t="shared" si="0"/>
        <v xml:space="preserve"> </v>
      </c>
      <c r="E36" s="993"/>
      <c r="F36" s="995" t="str">
        <f t="shared" si="0"/>
        <v xml:space="preserve"> </v>
      </c>
      <c r="G36" s="993"/>
      <c r="H36" s="995" t="str">
        <f t="shared" si="0"/>
        <v xml:space="preserve"> </v>
      </c>
      <c r="I36" s="993"/>
      <c r="J36" s="995" t="str">
        <f t="shared" si="0"/>
        <v xml:space="preserve"> </v>
      </c>
      <c r="K36" s="993"/>
      <c r="L36" s="995" t="str">
        <f t="shared" si="0"/>
        <v xml:space="preserve"> </v>
      </c>
      <c r="M36" s="993"/>
      <c r="N36" s="995" t="str">
        <f t="shared" ref="N36" si="1">IFERROR(AVERAGE(N5:N35), " ")</f>
        <v xml:space="preserve"> </v>
      </c>
      <c r="O36" s="993"/>
      <c r="P36" s="837"/>
    </row>
    <row r="37" spans="1:16" s="91" customFormat="1" ht="20.45" customHeight="1">
      <c r="A37" s="996"/>
      <c r="B37" s="997"/>
      <c r="C37" s="998" t="s">
        <v>663</v>
      </c>
      <c r="D37" s="1001">
        <f>COUNT(B5:B35,D5:D35,F5:F35,H5:H35,J5:J35,L5:L35,N5:N35)</f>
        <v>0</v>
      </c>
      <c r="E37" s="997"/>
      <c r="F37" s="997"/>
      <c r="G37" s="997"/>
      <c r="H37" s="997"/>
      <c r="I37" s="997"/>
      <c r="J37" s="997"/>
      <c r="K37" s="997"/>
      <c r="L37" s="997"/>
      <c r="M37" s="997"/>
      <c r="N37" s="1004" t="s">
        <v>661</v>
      </c>
      <c r="O37" s="999">
        <f>((COUNTIF(B5:B35,"&gt;="&amp;O39))+(COUNTIF(D5:D35,"&gt;="&amp;O39))+(COUNTIF(F5:F35,"&gt;="&amp;O39))+(COUNTIF(H5:H35,"&gt;="&amp;O39))+(COUNTIF(J5:J35,"&gt;="&amp;O39))+(COUNTIF(L5:L35,"&gt;="&amp;O39))+(COUNTIF(N5:N35,"&gt;="&amp;O39)))</f>
        <v>0</v>
      </c>
      <c r="P37" s="837"/>
    </row>
    <row r="38" spans="1:16" ht="20.25">
      <c r="A38" s="838"/>
      <c r="B38" s="1002" t="s">
        <v>649</v>
      </c>
      <c r="C38" s="1003"/>
      <c r="D38" s="1003"/>
      <c r="E38" s="1003"/>
      <c r="F38" s="791"/>
      <c r="G38" s="791"/>
      <c r="H38" s="791"/>
      <c r="I38" s="791"/>
      <c r="J38" s="791"/>
      <c r="K38" s="791"/>
      <c r="L38" s="791"/>
      <c r="M38" s="791"/>
      <c r="N38" s="1005" t="s">
        <v>662</v>
      </c>
      <c r="O38" s="1000">
        <f>((COUNTIF(C5:C35,"&gt;="&amp;O40))+(COUNTIF(E5:E35,"&gt;="&amp;O40))+(COUNTIF(G5:G35,"&gt;="&amp;O40))+(COUNTIF(I5:I35,"&gt;="&amp;O40))+(COUNTIF(K5:K35,"&gt;="&amp;O40))+(COUNTIF(M5:M35,"&gt;="&amp;O40))+(COUNTIF(O5:O35,"&gt;="&amp;O40)))</f>
        <v>0</v>
      </c>
      <c r="P38" s="791"/>
    </row>
    <row r="39" spans="1:16" ht="17.45" customHeight="1">
      <c r="A39" s="838"/>
      <c r="B39" s="867" t="s">
        <v>654</v>
      </c>
      <c r="C39" s="791"/>
      <c r="D39" s="791"/>
      <c r="E39" s="791"/>
      <c r="F39" s="791"/>
      <c r="G39" s="791"/>
      <c r="H39" s="791"/>
      <c r="I39" s="791"/>
      <c r="J39" s="791"/>
      <c r="K39" s="791"/>
      <c r="L39" s="791"/>
      <c r="M39" s="791"/>
      <c r="N39" s="1006" t="s">
        <v>651</v>
      </c>
      <c r="O39" s="772"/>
      <c r="P39" s="791"/>
    </row>
    <row r="40" spans="1:16" ht="17.45" customHeight="1">
      <c r="A40" s="838"/>
      <c r="B40" s="867" t="s">
        <v>650</v>
      </c>
      <c r="C40" s="791"/>
      <c r="D40" s="791"/>
      <c r="E40" s="791"/>
      <c r="F40" s="791"/>
      <c r="G40" s="791"/>
      <c r="H40" s="791"/>
      <c r="I40" s="791"/>
      <c r="J40" s="791"/>
      <c r="K40" s="791"/>
      <c r="L40" s="791"/>
      <c r="M40" s="791"/>
      <c r="N40" s="1006" t="s">
        <v>652</v>
      </c>
      <c r="O40" s="771"/>
      <c r="P40" s="791"/>
    </row>
    <row r="41" spans="1:16" ht="9.75" customHeight="1">
      <c r="A41" s="791"/>
      <c r="B41" s="791"/>
      <c r="C41" s="791"/>
      <c r="D41" s="791"/>
      <c r="E41" s="791"/>
      <c r="F41" s="791"/>
      <c r="G41" s="791"/>
      <c r="H41" s="791"/>
      <c r="I41" s="791"/>
      <c r="J41" s="791"/>
      <c r="K41" s="791"/>
      <c r="L41" s="791"/>
      <c r="M41" s="791"/>
      <c r="N41" s="791"/>
      <c r="O41" s="791"/>
      <c r="P41" s="791"/>
    </row>
    <row r="43" spans="1:16">
      <c r="B43" s="168" t="s">
        <v>664</v>
      </c>
    </row>
    <row r="44" spans="1:16">
      <c r="B44" s="168" t="s">
        <v>665</v>
      </c>
    </row>
  </sheetData>
  <sheetProtection algorithmName="SHA-512" hashValue="1z8cAlZ33nQkX6jNOrzjLVTJR4yF7aqx6ycIfOQ1dcXQBSjWZteZZpxCTdqtLrcQkqkW0uoBfrMl7B0BwyEJng==" saltValue="bFk6Au/h4QHoToWnhQ3wuw==" spinCount="100000" sheet="1" formatCells="0" formatColumns="0" formatRows="0" selectLockedCells="1"/>
  <mergeCells count="7">
    <mergeCell ref="J2:K2"/>
    <mergeCell ref="L2:M2"/>
    <mergeCell ref="N2:O2"/>
    <mergeCell ref="B2:C2"/>
    <mergeCell ref="D2:E2"/>
    <mergeCell ref="F2:G2"/>
    <mergeCell ref="H2:I2"/>
  </mergeCells>
  <hyperlinks>
    <hyperlink ref="A1" location="Bookmarks!A1" display="Return to Bookmarks" xr:uid="{6C128576-9936-4850-AC48-7E5F70E3C1FD}"/>
  </hyperlinks>
  <pageMargins left="0.7" right="0.7" top="0.75" bottom="0.75" header="0.3" footer="0.3"/>
  <pageSetup scale="81" orientation="portrait" r:id="rId1"/>
  <colBreaks count="1" manualBreakCount="1">
    <brk id="9" max="39"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sheetPr>
  <dimension ref="A1:H40"/>
  <sheetViews>
    <sheetView showGridLines="0" showWhiteSpace="0" zoomScaleNormal="100" zoomScalePageLayoutView="60" workbookViewId="0">
      <pane xSplit="1" ySplit="4" topLeftCell="B5" activePane="bottomRight" state="frozen"/>
      <selection pane="topRight" activeCell="B1" sqref="B1"/>
      <selection pane="bottomLeft" activeCell="A5" sqref="A5"/>
      <selection pane="bottomRight" activeCell="C5" sqref="C5"/>
    </sheetView>
  </sheetViews>
  <sheetFormatPr defaultColWidth="15" defaultRowHeight="12.75"/>
  <cols>
    <col min="1" max="2" width="9" customWidth="1"/>
    <col min="3" max="3" width="18.5703125" customWidth="1"/>
    <col min="4" max="6" width="17.7109375" customWidth="1"/>
    <col min="7" max="7" width="18.5703125" customWidth="1"/>
    <col min="8" max="8" width="2.28515625" customWidth="1"/>
  </cols>
  <sheetData>
    <row r="1" spans="1:8" ht="21.75" customHeight="1" thickBot="1">
      <c r="A1" s="1083" t="s">
        <v>730</v>
      </c>
      <c r="B1" s="781"/>
      <c r="C1" s="1485" t="s">
        <v>417</v>
      </c>
      <c r="D1" s="1485"/>
      <c r="E1" s="1485"/>
      <c r="F1" s="1485"/>
      <c r="G1" s="1486"/>
      <c r="H1" s="791"/>
    </row>
    <row r="2" spans="1:8" s="116" customFormat="1" ht="21" customHeight="1">
      <c r="A2" s="875"/>
      <c r="B2" s="875"/>
      <c r="C2" s="1484" t="s">
        <v>418</v>
      </c>
      <c r="D2" s="1484" t="s">
        <v>419</v>
      </c>
      <c r="E2" s="1484" t="s">
        <v>420</v>
      </c>
      <c r="F2" s="1484" t="s">
        <v>421</v>
      </c>
      <c r="G2" s="1484" t="s">
        <v>422</v>
      </c>
      <c r="H2" s="867"/>
    </row>
    <row r="3" spans="1:8" s="129" customFormat="1" ht="18" customHeight="1">
      <c r="A3" s="877"/>
      <c r="B3" s="877"/>
      <c r="C3" s="1223"/>
      <c r="D3" s="1223"/>
      <c r="E3" s="1223"/>
      <c r="F3" s="1223"/>
      <c r="G3" s="1223"/>
      <c r="H3" s="891"/>
    </row>
    <row r="4" spans="1:8" ht="36" customHeight="1" thickBot="1">
      <c r="A4" s="879" t="s">
        <v>58</v>
      </c>
      <c r="B4" s="1007" t="s">
        <v>699</v>
      </c>
      <c r="C4" s="1008" t="s">
        <v>423</v>
      </c>
      <c r="D4" s="1009" t="s">
        <v>423</v>
      </c>
      <c r="E4" s="1009" t="s">
        <v>423</v>
      </c>
      <c r="F4" s="1009" t="s">
        <v>423</v>
      </c>
      <c r="G4" s="1009" t="s">
        <v>423</v>
      </c>
      <c r="H4" s="791"/>
    </row>
    <row r="5" spans="1:8" ht="25.15" customHeight="1">
      <c r="A5" s="240">
        <v>1</v>
      </c>
      <c r="B5" s="1010">
        <f>SUM(C5:G5)</f>
        <v>0</v>
      </c>
      <c r="C5" s="523"/>
      <c r="D5" s="522"/>
      <c r="E5" s="522"/>
      <c r="F5" s="522"/>
      <c r="G5" s="522"/>
      <c r="H5" s="791"/>
    </row>
    <row r="6" spans="1:8" ht="25.15" customHeight="1">
      <c r="A6" s="240">
        <v>2</v>
      </c>
      <c r="B6" s="1010">
        <f t="shared" ref="B6:B35" si="0">SUM(C6:G6)</f>
        <v>0</v>
      </c>
      <c r="C6" s="523"/>
      <c r="D6" s="522"/>
      <c r="E6" s="522"/>
      <c r="F6" s="522"/>
      <c r="G6" s="522"/>
      <c r="H6" s="791"/>
    </row>
    <row r="7" spans="1:8" ht="25.15" customHeight="1">
      <c r="A7" s="240">
        <v>3</v>
      </c>
      <c r="B7" s="1010">
        <f t="shared" si="0"/>
        <v>0</v>
      </c>
      <c r="C7" s="523"/>
      <c r="D7" s="522"/>
      <c r="E7" s="522"/>
      <c r="F7" s="522"/>
      <c r="G7" s="522"/>
      <c r="H7" s="791"/>
    </row>
    <row r="8" spans="1:8" ht="25.15" customHeight="1">
      <c r="A8" s="240">
        <v>4</v>
      </c>
      <c r="B8" s="1010">
        <f t="shared" si="0"/>
        <v>0</v>
      </c>
      <c r="C8" s="523"/>
      <c r="D8" s="522"/>
      <c r="E8" s="522"/>
      <c r="F8" s="522"/>
      <c r="G8" s="522"/>
      <c r="H8" s="791"/>
    </row>
    <row r="9" spans="1:8" ht="25.15" customHeight="1">
      <c r="A9" s="240">
        <v>5</v>
      </c>
      <c r="B9" s="1010">
        <f t="shared" si="0"/>
        <v>0</v>
      </c>
      <c r="C9" s="523"/>
      <c r="D9" s="522"/>
      <c r="E9" s="522"/>
      <c r="F9" s="522"/>
      <c r="G9" s="522"/>
      <c r="H9" s="791"/>
    </row>
    <row r="10" spans="1:8" ht="25.15" customHeight="1">
      <c r="A10" s="240">
        <v>6</v>
      </c>
      <c r="B10" s="1010">
        <f t="shared" si="0"/>
        <v>0</v>
      </c>
      <c r="C10" s="523"/>
      <c r="D10" s="522"/>
      <c r="E10" s="522"/>
      <c r="F10" s="522"/>
      <c r="G10" s="522"/>
      <c r="H10" s="791"/>
    </row>
    <row r="11" spans="1:8" ht="25.15" customHeight="1">
      <c r="A11" s="240">
        <v>7</v>
      </c>
      <c r="B11" s="1010">
        <f t="shared" si="0"/>
        <v>0</v>
      </c>
      <c r="C11" s="523"/>
      <c r="D11" s="522"/>
      <c r="E11" s="522"/>
      <c r="F11" s="522"/>
      <c r="G11" s="522"/>
      <c r="H11" s="791"/>
    </row>
    <row r="12" spans="1:8" ht="25.15" customHeight="1">
      <c r="A12" s="240">
        <v>8</v>
      </c>
      <c r="B12" s="1010">
        <f t="shared" si="0"/>
        <v>0</v>
      </c>
      <c r="C12" s="523"/>
      <c r="D12" s="522"/>
      <c r="E12" s="522"/>
      <c r="F12" s="522"/>
      <c r="G12" s="522"/>
      <c r="H12" s="791"/>
    </row>
    <row r="13" spans="1:8" ht="25.15" customHeight="1">
      <c r="A13" s="240">
        <v>9</v>
      </c>
      <c r="B13" s="1010">
        <f t="shared" si="0"/>
        <v>0</v>
      </c>
      <c r="C13" s="523"/>
      <c r="D13" s="522"/>
      <c r="E13" s="522"/>
      <c r="F13" s="522"/>
      <c r="G13" s="522"/>
      <c r="H13" s="791"/>
    </row>
    <row r="14" spans="1:8" ht="25.15" customHeight="1">
      <c r="A14" s="240">
        <v>10</v>
      </c>
      <c r="B14" s="1010">
        <f t="shared" si="0"/>
        <v>0</v>
      </c>
      <c r="C14" s="523"/>
      <c r="D14" s="522"/>
      <c r="E14" s="522"/>
      <c r="F14" s="522"/>
      <c r="G14" s="522"/>
      <c r="H14" s="791"/>
    </row>
    <row r="15" spans="1:8" ht="25.15" customHeight="1">
      <c r="A15" s="240">
        <v>11</v>
      </c>
      <c r="B15" s="1010">
        <f t="shared" si="0"/>
        <v>0</v>
      </c>
      <c r="C15" s="523"/>
      <c r="D15" s="522"/>
      <c r="E15" s="522"/>
      <c r="F15" s="522"/>
      <c r="G15" s="522"/>
      <c r="H15" s="791"/>
    </row>
    <row r="16" spans="1:8" ht="25.15" customHeight="1">
      <c r="A16" s="240">
        <v>12</v>
      </c>
      <c r="B16" s="1010">
        <f t="shared" si="0"/>
        <v>0</v>
      </c>
      <c r="C16" s="523"/>
      <c r="D16" s="522"/>
      <c r="E16" s="522"/>
      <c r="F16" s="522"/>
      <c r="G16" s="522"/>
      <c r="H16" s="791"/>
    </row>
    <row r="17" spans="1:8" ht="25.15" customHeight="1">
      <c r="A17" s="240">
        <v>13</v>
      </c>
      <c r="B17" s="1010">
        <f t="shared" si="0"/>
        <v>0</v>
      </c>
      <c r="C17" s="523"/>
      <c r="D17" s="522"/>
      <c r="E17" s="522"/>
      <c r="F17" s="522"/>
      <c r="G17" s="522"/>
      <c r="H17" s="791"/>
    </row>
    <row r="18" spans="1:8" ht="25.15" customHeight="1">
      <c r="A18" s="240">
        <v>14</v>
      </c>
      <c r="B18" s="1010">
        <f t="shared" si="0"/>
        <v>0</v>
      </c>
      <c r="C18" s="523"/>
      <c r="D18" s="522"/>
      <c r="E18" s="522"/>
      <c r="F18" s="522"/>
      <c r="G18" s="522"/>
      <c r="H18" s="791"/>
    </row>
    <row r="19" spans="1:8" ht="25.15" customHeight="1">
      <c r="A19" s="240">
        <v>15</v>
      </c>
      <c r="B19" s="1010">
        <f t="shared" si="0"/>
        <v>0</v>
      </c>
      <c r="C19" s="523"/>
      <c r="D19" s="522"/>
      <c r="E19" s="522"/>
      <c r="F19" s="522"/>
      <c r="G19" s="522"/>
      <c r="H19" s="791"/>
    </row>
    <row r="20" spans="1:8" ht="25.15" customHeight="1">
      <c r="A20" s="240">
        <v>16</v>
      </c>
      <c r="B20" s="1010">
        <f t="shared" si="0"/>
        <v>0</v>
      </c>
      <c r="C20" s="523"/>
      <c r="D20" s="522"/>
      <c r="E20" s="522"/>
      <c r="F20" s="522"/>
      <c r="G20" s="522"/>
      <c r="H20" s="791"/>
    </row>
    <row r="21" spans="1:8" ht="25.15" customHeight="1">
      <c r="A21" s="240">
        <v>17</v>
      </c>
      <c r="B21" s="1010">
        <f t="shared" si="0"/>
        <v>0</v>
      </c>
      <c r="C21" s="523"/>
      <c r="D21" s="522"/>
      <c r="E21" s="522"/>
      <c r="F21" s="522"/>
      <c r="G21" s="522"/>
      <c r="H21" s="791"/>
    </row>
    <row r="22" spans="1:8" ht="25.15" customHeight="1">
      <c r="A22" s="240">
        <v>18</v>
      </c>
      <c r="B22" s="1010">
        <f t="shared" si="0"/>
        <v>0</v>
      </c>
      <c r="C22" s="523"/>
      <c r="D22" s="522"/>
      <c r="E22" s="522"/>
      <c r="F22" s="522"/>
      <c r="G22" s="522"/>
      <c r="H22" s="791"/>
    </row>
    <row r="23" spans="1:8" ht="25.15" customHeight="1">
      <c r="A23" s="240">
        <v>19</v>
      </c>
      <c r="B23" s="1010">
        <f t="shared" si="0"/>
        <v>0</v>
      </c>
      <c r="C23" s="523"/>
      <c r="D23" s="522"/>
      <c r="E23" s="522"/>
      <c r="F23" s="522"/>
      <c r="G23" s="522"/>
      <c r="H23" s="791"/>
    </row>
    <row r="24" spans="1:8" ht="25.15" customHeight="1">
      <c r="A24" s="240">
        <v>20</v>
      </c>
      <c r="B24" s="1010">
        <f t="shared" si="0"/>
        <v>0</v>
      </c>
      <c r="C24" s="523"/>
      <c r="D24" s="522"/>
      <c r="E24" s="522"/>
      <c r="F24" s="522"/>
      <c r="G24" s="522"/>
      <c r="H24" s="791"/>
    </row>
    <row r="25" spans="1:8" ht="25.15" customHeight="1">
      <c r="A25" s="240">
        <v>21</v>
      </c>
      <c r="B25" s="1010">
        <f t="shared" si="0"/>
        <v>0</v>
      </c>
      <c r="C25" s="523"/>
      <c r="D25" s="522"/>
      <c r="E25" s="522"/>
      <c r="F25" s="522"/>
      <c r="G25" s="522"/>
      <c r="H25" s="791"/>
    </row>
    <row r="26" spans="1:8" ht="25.15" customHeight="1">
      <c r="A26" s="240">
        <v>22</v>
      </c>
      <c r="B26" s="1010">
        <f t="shared" si="0"/>
        <v>0</v>
      </c>
      <c r="C26" s="523"/>
      <c r="D26" s="522"/>
      <c r="E26" s="522"/>
      <c r="F26" s="522"/>
      <c r="G26" s="522"/>
      <c r="H26" s="791"/>
    </row>
    <row r="27" spans="1:8" ht="25.15" customHeight="1">
      <c r="A27" s="240">
        <v>23</v>
      </c>
      <c r="B27" s="1010">
        <f t="shared" si="0"/>
        <v>0</v>
      </c>
      <c r="C27" s="523"/>
      <c r="D27" s="522"/>
      <c r="E27" s="522"/>
      <c r="F27" s="522"/>
      <c r="G27" s="522"/>
      <c r="H27" s="791"/>
    </row>
    <row r="28" spans="1:8" ht="25.15" customHeight="1">
      <c r="A28" s="240">
        <v>24</v>
      </c>
      <c r="B28" s="1010">
        <f t="shared" si="0"/>
        <v>0</v>
      </c>
      <c r="C28" s="523"/>
      <c r="D28" s="522"/>
      <c r="E28" s="522"/>
      <c r="F28" s="522"/>
      <c r="G28" s="522"/>
      <c r="H28" s="791"/>
    </row>
    <row r="29" spans="1:8" ht="25.15" customHeight="1">
      <c r="A29" s="240">
        <v>25</v>
      </c>
      <c r="B29" s="1010">
        <f t="shared" si="0"/>
        <v>0</v>
      </c>
      <c r="C29" s="523"/>
      <c r="D29" s="522"/>
      <c r="E29" s="522"/>
      <c r="F29" s="522"/>
      <c r="G29" s="522"/>
      <c r="H29" s="791"/>
    </row>
    <row r="30" spans="1:8" ht="25.15" customHeight="1">
      <c r="A30" s="240">
        <v>26</v>
      </c>
      <c r="B30" s="1010">
        <f t="shared" si="0"/>
        <v>0</v>
      </c>
      <c r="C30" s="523"/>
      <c r="D30" s="522"/>
      <c r="E30" s="522"/>
      <c r="F30" s="522"/>
      <c r="G30" s="522"/>
      <c r="H30" s="791"/>
    </row>
    <row r="31" spans="1:8" ht="25.15" customHeight="1">
      <c r="A31" s="240">
        <v>27</v>
      </c>
      <c r="B31" s="1010">
        <f t="shared" si="0"/>
        <v>0</v>
      </c>
      <c r="C31" s="523"/>
      <c r="D31" s="522"/>
      <c r="E31" s="522"/>
      <c r="F31" s="522"/>
      <c r="G31" s="522"/>
      <c r="H31" s="791"/>
    </row>
    <row r="32" spans="1:8" ht="25.15" customHeight="1">
      <c r="A32" s="240">
        <v>28</v>
      </c>
      <c r="B32" s="1010">
        <f t="shared" si="0"/>
        <v>0</v>
      </c>
      <c r="C32" s="523"/>
      <c r="D32" s="522"/>
      <c r="E32" s="522"/>
      <c r="F32" s="522"/>
      <c r="G32" s="522"/>
      <c r="H32" s="791"/>
    </row>
    <row r="33" spans="1:8" ht="25.15" customHeight="1">
      <c r="A33" s="240">
        <v>29</v>
      </c>
      <c r="B33" s="1010">
        <f t="shared" si="0"/>
        <v>0</v>
      </c>
      <c r="C33" s="523"/>
      <c r="D33" s="522"/>
      <c r="E33" s="522"/>
      <c r="F33" s="522"/>
      <c r="G33" s="522"/>
      <c r="H33" s="791"/>
    </row>
    <row r="34" spans="1:8" ht="25.15" customHeight="1">
      <c r="A34" s="240">
        <v>30</v>
      </c>
      <c r="B34" s="1010">
        <f t="shared" si="0"/>
        <v>0</v>
      </c>
      <c r="C34" s="523"/>
      <c r="D34" s="522"/>
      <c r="E34" s="522"/>
      <c r="F34" s="522"/>
      <c r="G34" s="522"/>
      <c r="H34" s="791"/>
    </row>
    <row r="35" spans="1:8" ht="25.15" customHeight="1" thickBot="1">
      <c r="A35" s="241">
        <v>31</v>
      </c>
      <c r="B35" s="1011">
        <f t="shared" si="0"/>
        <v>0</v>
      </c>
      <c r="C35" s="527"/>
      <c r="D35" s="526"/>
      <c r="E35" s="526"/>
      <c r="F35" s="526"/>
      <c r="G35" s="526"/>
      <c r="H35" s="791"/>
    </row>
    <row r="36" spans="1:8" ht="25.15" customHeight="1">
      <c r="A36" s="468" t="s">
        <v>80</v>
      </c>
      <c r="B36" s="471" t="str">
        <f t="shared" ref="B36:G36" si="1">IF(SUM(B5:B35)=0, " ", SUM(B5:B35))</f>
        <v xml:space="preserve"> </v>
      </c>
      <c r="C36" s="471" t="str">
        <f t="shared" si="1"/>
        <v xml:space="preserve"> </v>
      </c>
      <c r="D36" s="470" t="str">
        <f t="shared" si="1"/>
        <v xml:space="preserve"> </v>
      </c>
      <c r="E36" s="470" t="str">
        <f t="shared" si="1"/>
        <v xml:space="preserve"> </v>
      </c>
      <c r="F36" s="470" t="str">
        <f t="shared" si="1"/>
        <v xml:space="preserve"> </v>
      </c>
      <c r="G36" s="470" t="str">
        <f t="shared" si="1"/>
        <v xml:space="preserve"> </v>
      </c>
      <c r="H36" s="791"/>
    </row>
    <row r="37" spans="1:8" ht="25.15" customHeight="1" thickBot="1">
      <c r="A37" s="472" t="s">
        <v>183</v>
      </c>
      <c r="B37" s="474">
        <f t="shared" ref="B37:G37" si="2">IFERROR(AVERAGE(B5:B35), " ")</f>
        <v>0</v>
      </c>
      <c r="C37" s="474" t="str">
        <f t="shared" si="2"/>
        <v xml:space="preserve"> </v>
      </c>
      <c r="D37" s="473" t="str">
        <f t="shared" si="2"/>
        <v xml:space="preserve"> </v>
      </c>
      <c r="E37" s="473" t="str">
        <f t="shared" si="2"/>
        <v xml:space="preserve"> </v>
      </c>
      <c r="F37" s="473" t="str">
        <f t="shared" si="2"/>
        <v xml:space="preserve"> </v>
      </c>
      <c r="G37" s="473" t="str">
        <f t="shared" si="2"/>
        <v xml:space="preserve"> </v>
      </c>
      <c r="H37" s="791"/>
    </row>
    <row r="38" spans="1:8" ht="13.5" customHeight="1">
      <c r="A38" s="886">
        <f>PWSID</f>
        <v>0</v>
      </c>
      <c r="B38" s="1012" t="str">
        <f>MMYYYY</f>
        <v>05/2025</v>
      </c>
      <c r="C38" s="867"/>
      <c r="D38" s="867"/>
      <c r="E38" s="867"/>
      <c r="F38" s="867"/>
      <c r="G38" s="867"/>
      <c r="H38" s="791"/>
    </row>
    <row r="39" spans="1:8">
      <c r="A39" s="791"/>
      <c r="B39" s="889"/>
      <c r="C39" s="791"/>
      <c r="D39" s="791"/>
      <c r="E39" s="791"/>
      <c r="F39" s="791"/>
      <c r="G39" s="791"/>
      <c r="H39" s="791"/>
    </row>
    <row r="40" spans="1:8" ht="19.149999999999999" customHeight="1"/>
  </sheetData>
  <sheetProtection algorithmName="SHA-512" hashValue="Rxhhn7KyvpGlEDEcqvFvQdlGLSY3OXVhxUkCYWh5OENedGWIg0DbYPQcfsP4YAgTUtB0arbVmkbSSxuDxrv/DA==" saltValue="XsZ3YqL2q3Eq6Vr5VpMIpA==" spinCount="100000" sheet="1" selectLockedCells="1"/>
  <mergeCells count="6">
    <mergeCell ref="G2:G3"/>
    <mergeCell ref="C1:G1"/>
    <mergeCell ref="C2:C3"/>
    <mergeCell ref="D2:D3"/>
    <mergeCell ref="E2:E3"/>
    <mergeCell ref="F2:F3"/>
  </mergeCells>
  <hyperlinks>
    <hyperlink ref="A1" location="Bookmarks!A1" display="Return to Bookmarks" xr:uid="{E88F7763-5C0B-4B70-9947-D5AA564FB5D5}"/>
  </hyperlinks>
  <printOptions verticalCentered="1"/>
  <pageMargins left="1.25" right="0.48" top="0.75" bottom="0.5" header="0.5" footer="0"/>
  <pageSetup scale="70" fitToWidth="0" fitToHeight="0" orientation="portrait" r:id="rId1"/>
  <headerFooter scaleWithDoc="0" alignWithMargins="0">
    <oddHeader>&amp;LMonthly Operating Report
Filter Operation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4C459-752A-401F-80D3-2518C573DC9D}">
  <sheetPr>
    <tabColor theme="2"/>
  </sheetPr>
  <dimension ref="A1:AK38"/>
  <sheetViews>
    <sheetView zoomScaleNormal="100" workbookViewId="0">
      <pane xSplit="1" ySplit="4" topLeftCell="B5" activePane="bottomRight" state="frozen"/>
      <selection pane="topRight" activeCell="B1" sqref="B1"/>
      <selection pane="bottomLeft" activeCell="A4" sqref="A4"/>
      <selection pane="bottomRight" activeCell="H5" sqref="H5"/>
    </sheetView>
  </sheetViews>
  <sheetFormatPr defaultRowHeight="12.75"/>
  <cols>
    <col min="2" max="4" width="13.42578125" customWidth="1"/>
    <col min="5" max="5" width="1.7109375" customWidth="1"/>
    <col min="6" max="9" width="13.42578125" customWidth="1"/>
    <col min="10" max="10" width="0.85546875" customWidth="1"/>
    <col min="11" max="14" width="13.42578125" customWidth="1"/>
    <col min="15" max="15" width="0.85546875" customWidth="1"/>
    <col min="16" max="18" width="13.42578125" customWidth="1"/>
    <col min="19" max="19" width="0.85546875" customWidth="1"/>
    <col min="20" max="22" width="13.42578125" customWidth="1"/>
    <col min="23" max="23" width="14" customWidth="1"/>
    <col min="24" max="24" width="13.7109375" customWidth="1"/>
    <col min="25" max="25" width="1.7109375" customWidth="1"/>
    <col min="26" max="26" width="16.7109375" customWidth="1"/>
    <col min="27" max="27" width="15.7109375" customWidth="1"/>
    <col min="28" max="30" width="13.42578125" customWidth="1"/>
    <col min="31" max="31" width="15.7109375" customWidth="1"/>
    <col min="32" max="32" width="1.7109375" customWidth="1"/>
    <col min="33" max="33" width="12" customWidth="1"/>
    <col min="34" max="34" width="11.42578125" customWidth="1"/>
    <col min="35" max="35" width="15.42578125" customWidth="1"/>
    <col min="36" max="36" width="14.140625" customWidth="1"/>
    <col min="37" max="37" width="2" customWidth="1"/>
  </cols>
  <sheetData>
    <row r="1" spans="1:37" ht="21" customHeight="1">
      <c r="A1" s="1083" t="s">
        <v>730</v>
      </c>
      <c r="B1" s="1502" t="s">
        <v>707</v>
      </c>
      <c r="C1" s="1502"/>
      <c r="D1" s="1502"/>
      <c r="E1" s="1502"/>
      <c r="F1" s="1502"/>
      <c r="G1" s="1502"/>
      <c r="H1" s="1502"/>
      <c r="I1" s="1502"/>
      <c r="J1" s="1502"/>
      <c r="K1" s="1502"/>
      <c r="L1" s="1502"/>
      <c r="M1" s="1502"/>
      <c r="N1" s="1502"/>
      <c r="O1" s="1502"/>
      <c r="P1" s="1502"/>
      <c r="Q1" s="1502"/>
      <c r="R1" s="1502"/>
      <c r="S1" s="1502"/>
      <c r="T1" s="1502"/>
      <c r="U1" s="1502"/>
      <c r="V1" s="1502"/>
      <c r="W1" s="1502"/>
      <c r="X1" s="1502"/>
      <c r="Y1" s="1502"/>
      <c r="Z1" s="1502"/>
      <c r="AA1" s="1502"/>
      <c r="AB1" s="1502"/>
      <c r="AC1" s="1502"/>
      <c r="AD1" s="1502"/>
      <c r="AE1" s="1502"/>
      <c r="AF1" s="1502"/>
      <c r="AG1" s="1502"/>
      <c r="AH1" s="1502"/>
      <c r="AI1" s="789" t="str">
        <f>MMYYYY</f>
        <v>05/2025</v>
      </c>
      <c r="AJ1" s="789">
        <f>PWSID</f>
        <v>0</v>
      </c>
      <c r="AK1" s="791"/>
    </row>
    <row r="2" spans="1:37" ht="15.75" customHeight="1">
      <c r="A2" s="1487" t="s">
        <v>58</v>
      </c>
      <c r="B2" s="1497" t="s">
        <v>677</v>
      </c>
      <c r="C2" s="1497"/>
      <c r="D2" s="1497"/>
      <c r="E2" s="780"/>
      <c r="F2" s="1489" t="s">
        <v>679</v>
      </c>
      <c r="G2" s="1489"/>
      <c r="H2" s="1489"/>
      <c r="I2" s="1489"/>
      <c r="J2" s="1489"/>
      <c r="K2" s="1489"/>
      <c r="L2" s="1489"/>
      <c r="M2" s="1489"/>
      <c r="N2" s="1489"/>
      <c r="O2" s="1489"/>
      <c r="P2" s="1489"/>
      <c r="Q2" s="1489"/>
      <c r="R2" s="1489"/>
      <c r="S2" s="1489"/>
      <c r="T2" s="1489"/>
      <c r="U2" s="1489"/>
      <c r="V2" s="1489"/>
      <c r="W2" s="790"/>
      <c r="X2" s="791"/>
      <c r="Y2" s="780"/>
      <c r="Z2" s="1498" t="s">
        <v>678</v>
      </c>
      <c r="AA2" s="1497"/>
      <c r="AB2" s="1497"/>
      <c r="AC2" s="1497"/>
      <c r="AD2" s="1236"/>
      <c r="AE2" s="1500" t="s">
        <v>698</v>
      </c>
      <c r="AF2" s="780"/>
      <c r="AG2" s="1498" t="s">
        <v>703</v>
      </c>
      <c r="AH2" s="1497"/>
      <c r="AI2" s="1497"/>
      <c r="AJ2" s="1236"/>
      <c r="AK2" s="791"/>
    </row>
    <row r="3" spans="1:37" ht="17.25" customHeight="1" thickBot="1">
      <c r="A3" s="1487"/>
      <c r="B3" s="1491"/>
      <c r="C3" s="1491"/>
      <c r="D3" s="1491"/>
      <c r="E3" s="774"/>
      <c r="F3" s="1490" t="s">
        <v>701</v>
      </c>
      <c r="G3" s="1491"/>
      <c r="H3" s="1491"/>
      <c r="I3" s="1491"/>
      <c r="J3" s="1491"/>
      <c r="K3" s="1491"/>
      <c r="L3" s="1491"/>
      <c r="M3" s="1491"/>
      <c r="N3" s="1491"/>
      <c r="O3" s="792"/>
      <c r="P3" s="1492" t="s">
        <v>702</v>
      </c>
      <c r="Q3" s="1493"/>
      <c r="R3" s="1493"/>
      <c r="S3" s="1493"/>
      <c r="T3" s="1493"/>
      <c r="U3" s="1493"/>
      <c r="V3" s="1493"/>
      <c r="W3" s="1494"/>
      <c r="X3" s="1495" t="s">
        <v>696</v>
      </c>
      <c r="Y3" s="774"/>
      <c r="Z3" s="1490"/>
      <c r="AA3" s="1491"/>
      <c r="AB3" s="1491"/>
      <c r="AC3" s="1491"/>
      <c r="AD3" s="1499"/>
      <c r="AE3" s="1500"/>
      <c r="AF3" s="777"/>
      <c r="AG3" s="1490"/>
      <c r="AH3" s="1491"/>
      <c r="AI3" s="1491"/>
      <c r="AJ3" s="1499"/>
      <c r="AK3" s="791"/>
    </row>
    <row r="4" spans="1:37" ht="72.75" thickBot="1">
      <c r="A4" s="1488"/>
      <c r="B4" s="788" t="s">
        <v>676</v>
      </c>
      <c r="C4" s="783" t="s">
        <v>712</v>
      </c>
      <c r="D4" s="782" t="s">
        <v>697</v>
      </c>
      <c r="E4" s="773"/>
      <c r="F4" s="783" t="s">
        <v>674</v>
      </c>
      <c r="G4" s="783" t="s">
        <v>675</v>
      </c>
      <c r="H4" s="783" t="s">
        <v>688</v>
      </c>
      <c r="I4" s="783" t="s">
        <v>689</v>
      </c>
      <c r="J4" s="773"/>
      <c r="K4" s="783" t="s">
        <v>681</v>
      </c>
      <c r="L4" s="783" t="s">
        <v>682</v>
      </c>
      <c r="M4" s="783" t="s">
        <v>686</v>
      </c>
      <c r="N4" s="783" t="s">
        <v>680</v>
      </c>
      <c r="O4" s="773"/>
      <c r="P4" s="783" t="s">
        <v>683</v>
      </c>
      <c r="Q4" s="783" t="s">
        <v>684</v>
      </c>
      <c r="R4" s="783" t="s">
        <v>685</v>
      </c>
      <c r="S4" s="773"/>
      <c r="T4" s="783" t="s">
        <v>687</v>
      </c>
      <c r="U4" s="783" t="s">
        <v>690</v>
      </c>
      <c r="V4" s="783" t="s">
        <v>691</v>
      </c>
      <c r="W4" s="782" t="s">
        <v>708</v>
      </c>
      <c r="X4" s="1496"/>
      <c r="Y4" s="773"/>
      <c r="Z4" s="783" t="s">
        <v>713</v>
      </c>
      <c r="AA4" s="783" t="s">
        <v>692</v>
      </c>
      <c r="AB4" s="783" t="s">
        <v>693</v>
      </c>
      <c r="AC4" s="783" t="s">
        <v>694</v>
      </c>
      <c r="AD4" s="783" t="s">
        <v>695</v>
      </c>
      <c r="AE4" s="1501"/>
      <c r="AF4" s="778"/>
      <c r="AG4" s="793" t="s">
        <v>709</v>
      </c>
      <c r="AH4" s="793" t="s">
        <v>710</v>
      </c>
      <c r="AI4" s="783" t="s">
        <v>711</v>
      </c>
      <c r="AJ4" s="782" t="s">
        <v>700</v>
      </c>
      <c r="AK4" s="791"/>
    </row>
    <row r="5" spans="1:37" ht="15.75">
      <c r="A5" s="240">
        <v>1</v>
      </c>
      <c r="B5" s="1122">
        <f>'P1 Chemicals'!B8</f>
        <v>0</v>
      </c>
      <c r="C5" s="1122">
        <f>PurchaseSaleWorksheet!B5</f>
        <v>0</v>
      </c>
      <c r="D5" s="1123">
        <f>B5+C5</f>
        <v>0</v>
      </c>
      <c r="E5" s="776"/>
      <c r="F5" s="1124">
        <f>'P4 Filters'!B5</f>
        <v>0</v>
      </c>
      <c r="G5" s="1124">
        <f>'P11 Clarifiers'!B5</f>
        <v>0</v>
      </c>
      <c r="H5" s="1125"/>
      <c r="I5" s="1125"/>
      <c r="J5" s="775"/>
      <c r="K5" s="1125"/>
      <c r="L5" s="1125"/>
      <c r="M5" s="1125"/>
      <c r="N5" s="1125"/>
      <c r="O5" s="775"/>
      <c r="P5" s="1125"/>
      <c r="Q5" s="1125"/>
      <c r="R5" s="1125"/>
      <c r="S5" s="775"/>
      <c r="T5" s="1125"/>
      <c r="U5" s="1125"/>
      <c r="V5" s="1125"/>
      <c r="W5" s="1124">
        <f>IFERROR(D5-AE5-(SUM(F5:V5)),"")</f>
        <v>0</v>
      </c>
      <c r="X5" s="1126">
        <f>SUM(F5:W5)</f>
        <v>0</v>
      </c>
      <c r="Y5" s="775"/>
      <c r="Z5" s="1124">
        <f>PurchaseSaleWorksheet!C5</f>
        <v>0</v>
      </c>
      <c r="AA5" s="1125"/>
      <c r="AB5" s="1125"/>
      <c r="AC5" s="1125"/>
      <c r="AD5" s="1125"/>
      <c r="AE5" s="1127">
        <f>SUM(Z5:AD5)</f>
        <v>0</v>
      </c>
      <c r="AF5" s="779"/>
      <c r="AG5" s="794" t="str">
        <f>IFERROR(SUM(F5:N5)/D5," ")</f>
        <v xml:space="preserve"> </v>
      </c>
      <c r="AH5" s="794" t="str">
        <f>IFERROR((SUM(P5:W5))/D5," ")</f>
        <v xml:space="preserve"> </v>
      </c>
      <c r="AI5" s="784" t="str">
        <f>IFERROR(X5/D5," ")</f>
        <v xml:space="preserve"> </v>
      </c>
      <c r="AJ5" s="784" t="str">
        <f>IFERROR(AE5/D5," ")</f>
        <v xml:space="preserve"> </v>
      </c>
      <c r="AK5" s="791"/>
    </row>
    <row r="6" spans="1:37" ht="15.75">
      <c r="A6" s="396">
        <v>2</v>
      </c>
      <c r="B6" s="1122">
        <f>'P1 Chemicals'!B9</f>
        <v>0</v>
      </c>
      <c r="C6" s="1122">
        <f>PurchaseSaleWorksheet!B6</f>
        <v>0</v>
      </c>
      <c r="D6" s="1123">
        <f t="shared" ref="D6:D35" si="0">B6+C6</f>
        <v>0</v>
      </c>
      <c r="E6" s="776"/>
      <c r="F6" s="1124">
        <f>'P4 Filters'!B6</f>
        <v>0</v>
      </c>
      <c r="G6" s="1124">
        <f>'P11 Clarifiers'!B6</f>
        <v>0</v>
      </c>
      <c r="H6" s="1128"/>
      <c r="I6" s="1128"/>
      <c r="J6" s="775"/>
      <c r="K6" s="1128"/>
      <c r="L6" s="1128"/>
      <c r="M6" s="1128"/>
      <c r="N6" s="1128"/>
      <c r="O6" s="775"/>
      <c r="P6" s="1128"/>
      <c r="Q6" s="1128"/>
      <c r="R6" s="1128"/>
      <c r="S6" s="775"/>
      <c r="T6" s="1128"/>
      <c r="U6" s="1128"/>
      <c r="V6" s="1128"/>
      <c r="W6" s="1124">
        <f>IFERROR(D6-AE6-(SUM(F6:V6)),"")</f>
        <v>0</v>
      </c>
      <c r="X6" s="1129">
        <f>SUM(F6:W6)</f>
        <v>0</v>
      </c>
      <c r="Y6" s="775"/>
      <c r="Z6" s="1124">
        <f>PurchaseSaleWorksheet!C6</f>
        <v>0</v>
      </c>
      <c r="AA6" s="1128"/>
      <c r="AB6" s="1128"/>
      <c r="AC6" s="1128"/>
      <c r="AD6" s="1128"/>
      <c r="AE6" s="1130">
        <f>SUM(Z6:AD6)</f>
        <v>0</v>
      </c>
      <c r="AF6" s="779"/>
      <c r="AG6" s="794" t="str">
        <f>IFERROR(SUM(F6:N6)/D6," ")</f>
        <v xml:space="preserve"> </v>
      </c>
      <c r="AH6" s="794" t="str">
        <f>IFERROR((SUM(P6:W6))/D6," ")</f>
        <v xml:space="preserve"> </v>
      </c>
      <c r="AI6" s="784" t="str">
        <f>IFERROR(X6/D6," ")</f>
        <v xml:space="preserve"> </v>
      </c>
      <c r="AJ6" s="784" t="str">
        <f t="shared" ref="AJ6:AJ35" si="1">IFERROR(AE6/D6," ")</f>
        <v xml:space="preserve"> </v>
      </c>
      <c r="AK6" s="791"/>
    </row>
    <row r="7" spans="1:37" ht="15.75">
      <c r="A7" s="396">
        <v>3</v>
      </c>
      <c r="B7" s="1122">
        <f>'P1 Chemicals'!B10</f>
        <v>0</v>
      </c>
      <c r="C7" s="1122">
        <f>PurchaseSaleWorksheet!B7</f>
        <v>0</v>
      </c>
      <c r="D7" s="1123">
        <f t="shared" si="0"/>
        <v>0</v>
      </c>
      <c r="E7" s="776"/>
      <c r="F7" s="1124">
        <f>'P4 Filters'!B7</f>
        <v>0</v>
      </c>
      <c r="G7" s="1124">
        <f>'P11 Clarifiers'!B7</f>
        <v>0</v>
      </c>
      <c r="H7" s="1128"/>
      <c r="I7" s="1128"/>
      <c r="J7" s="775"/>
      <c r="K7" s="1128"/>
      <c r="L7" s="1128"/>
      <c r="M7" s="1128"/>
      <c r="N7" s="1128"/>
      <c r="O7" s="775"/>
      <c r="P7" s="1128"/>
      <c r="Q7" s="1128"/>
      <c r="R7" s="1128"/>
      <c r="S7" s="775"/>
      <c r="T7" s="1128"/>
      <c r="U7" s="1128"/>
      <c r="V7" s="1128"/>
      <c r="W7" s="1124">
        <f t="shared" ref="W7:W35" si="2">IFERROR(D7-AE7-(SUM(F7:V7)),"")</f>
        <v>0</v>
      </c>
      <c r="X7" s="1129">
        <f t="shared" ref="X7:X35" si="3">SUM(F7:W7)</f>
        <v>0</v>
      </c>
      <c r="Y7" s="775"/>
      <c r="Z7" s="1124">
        <f>PurchaseSaleWorksheet!C7</f>
        <v>0</v>
      </c>
      <c r="AA7" s="1128"/>
      <c r="AB7" s="1128"/>
      <c r="AC7" s="1128"/>
      <c r="AD7" s="1128"/>
      <c r="AE7" s="1130">
        <f t="shared" ref="AE7:AE35" si="4">SUM(Z7:AD7)</f>
        <v>0</v>
      </c>
      <c r="AF7" s="779"/>
      <c r="AG7" s="794" t="str">
        <f t="shared" ref="AG7:AG35" si="5">IFERROR(SUM(F7:N7)/D7," ")</f>
        <v xml:space="preserve"> </v>
      </c>
      <c r="AH7" s="794" t="str">
        <f t="shared" ref="AH7:AH35" si="6">IFERROR((SUM(P7:W7))/D7," ")</f>
        <v xml:space="preserve"> </v>
      </c>
      <c r="AI7" s="784" t="str">
        <f t="shared" ref="AI7:AI35" si="7">IFERROR(X7/D7," ")</f>
        <v xml:space="preserve"> </v>
      </c>
      <c r="AJ7" s="784" t="str">
        <f t="shared" si="1"/>
        <v xml:space="preserve"> </v>
      </c>
      <c r="AK7" s="791"/>
    </row>
    <row r="8" spans="1:37" ht="15.75">
      <c r="A8" s="396">
        <v>4</v>
      </c>
      <c r="B8" s="1122">
        <f>'P1 Chemicals'!B11</f>
        <v>0</v>
      </c>
      <c r="C8" s="1122">
        <f>PurchaseSaleWorksheet!B8</f>
        <v>0</v>
      </c>
      <c r="D8" s="1123">
        <f t="shared" si="0"/>
        <v>0</v>
      </c>
      <c r="E8" s="776"/>
      <c r="F8" s="1124">
        <f>'P4 Filters'!B8</f>
        <v>0</v>
      </c>
      <c r="G8" s="1124">
        <f>'P11 Clarifiers'!B8</f>
        <v>0</v>
      </c>
      <c r="H8" s="1128"/>
      <c r="I8" s="1128"/>
      <c r="J8" s="775"/>
      <c r="K8" s="1128"/>
      <c r="L8" s="1128"/>
      <c r="M8" s="1128"/>
      <c r="N8" s="1128"/>
      <c r="O8" s="775"/>
      <c r="P8" s="1128"/>
      <c r="Q8" s="1128"/>
      <c r="R8" s="1128"/>
      <c r="S8" s="775"/>
      <c r="T8" s="1128"/>
      <c r="U8" s="1128"/>
      <c r="V8" s="1128"/>
      <c r="W8" s="1124">
        <f t="shared" si="2"/>
        <v>0</v>
      </c>
      <c r="X8" s="1129">
        <f t="shared" si="3"/>
        <v>0</v>
      </c>
      <c r="Y8" s="775"/>
      <c r="Z8" s="1124">
        <f>PurchaseSaleWorksheet!C8</f>
        <v>0</v>
      </c>
      <c r="AA8" s="1128"/>
      <c r="AB8" s="1128"/>
      <c r="AC8" s="1128"/>
      <c r="AD8" s="1128"/>
      <c r="AE8" s="1130">
        <f t="shared" si="4"/>
        <v>0</v>
      </c>
      <c r="AF8" s="779"/>
      <c r="AG8" s="794" t="str">
        <f t="shared" si="5"/>
        <v xml:space="preserve"> </v>
      </c>
      <c r="AH8" s="794" t="str">
        <f t="shared" si="6"/>
        <v xml:space="preserve"> </v>
      </c>
      <c r="AI8" s="784" t="str">
        <f t="shared" si="7"/>
        <v xml:space="preserve"> </v>
      </c>
      <c r="AJ8" s="784" t="str">
        <f t="shared" si="1"/>
        <v xml:space="preserve"> </v>
      </c>
      <c r="AK8" s="791"/>
    </row>
    <row r="9" spans="1:37" ht="15.75">
      <c r="A9" s="396">
        <v>5</v>
      </c>
      <c r="B9" s="1122">
        <f>'P1 Chemicals'!B12</f>
        <v>0</v>
      </c>
      <c r="C9" s="1122">
        <f>PurchaseSaleWorksheet!B9</f>
        <v>0</v>
      </c>
      <c r="D9" s="1123">
        <f t="shared" si="0"/>
        <v>0</v>
      </c>
      <c r="E9" s="776"/>
      <c r="F9" s="1124">
        <f>'P4 Filters'!B9</f>
        <v>0</v>
      </c>
      <c r="G9" s="1124">
        <f>'P11 Clarifiers'!B9</f>
        <v>0</v>
      </c>
      <c r="H9" s="1128"/>
      <c r="I9" s="1128"/>
      <c r="J9" s="775"/>
      <c r="K9" s="1128"/>
      <c r="L9" s="1128"/>
      <c r="M9" s="1128"/>
      <c r="N9" s="1128"/>
      <c r="O9" s="775"/>
      <c r="P9" s="1128"/>
      <c r="Q9" s="1128"/>
      <c r="R9" s="1128"/>
      <c r="S9" s="775"/>
      <c r="T9" s="1128"/>
      <c r="U9" s="1128"/>
      <c r="V9" s="1128"/>
      <c r="W9" s="1124">
        <f t="shared" si="2"/>
        <v>0</v>
      </c>
      <c r="X9" s="1129">
        <f t="shared" si="3"/>
        <v>0</v>
      </c>
      <c r="Y9" s="775"/>
      <c r="Z9" s="1124">
        <f>PurchaseSaleWorksheet!C9</f>
        <v>0</v>
      </c>
      <c r="AA9" s="1128"/>
      <c r="AB9" s="1128"/>
      <c r="AC9" s="1128"/>
      <c r="AD9" s="1128"/>
      <c r="AE9" s="1130">
        <f t="shared" si="4"/>
        <v>0</v>
      </c>
      <c r="AF9" s="779"/>
      <c r="AG9" s="794" t="str">
        <f t="shared" si="5"/>
        <v xml:space="preserve"> </v>
      </c>
      <c r="AH9" s="794" t="str">
        <f t="shared" si="6"/>
        <v xml:space="preserve"> </v>
      </c>
      <c r="AI9" s="784" t="str">
        <f t="shared" si="7"/>
        <v xml:space="preserve"> </v>
      </c>
      <c r="AJ9" s="784" t="str">
        <f t="shared" si="1"/>
        <v xml:space="preserve"> </v>
      </c>
      <c r="AK9" s="791"/>
    </row>
    <row r="10" spans="1:37" ht="15.75">
      <c r="A10" s="396">
        <v>6</v>
      </c>
      <c r="B10" s="1122">
        <f>'P1 Chemicals'!B13</f>
        <v>0</v>
      </c>
      <c r="C10" s="1122">
        <f>PurchaseSaleWorksheet!B10</f>
        <v>0</v>
      </c>
      <c r="D10" s="1123">
        <f t="shared" si="0"/>
        <v>0</v>
      </c>
      <c r="E10" s="776"/>
      <c r="F10" s="1124">
        <f>'P4 Filters'!B10</f>
        <v>0</v>
      </c>
      <c r="G10" s="1124">
        <f>'P11 Clarifiers'!B10</f>
        <v>0</v>
      </c>
      <c r="H10" s="1128"/>
      <c r="I10" s="1128"/>
      <c r="J10" s="775"/>
      <c r="K10" s="1128"/>
      <c r="L10" s="1128"/>
      <c r="M10" s="1128"/>
      <c r="N10" s="1128"/>
      <c r="O10" s="775"/>
      <c r="P10" s="1128"/>
      <c r="Q10" s="1128"/>
      <c r="R10" s="1128"/>
      <c r="S10" s="775"/>
      <c r="T10" s="1128"/>
      <c r="U10" s="1128"/>
      <c r="V10" s="1128"/>
      <c r="W10" s="1124">
        <f t="shared" si="2"/>
        <v>0</v>
      </c>
      <c r="X10" s="1129">
        <f t="shared" si="3"/>
        <v>0</v>
      </c>
      <c r="Y10" s="775"/>
      <c r="Z10" s="1124">
        <f>PurchaseSaleWorksheet!C10</f>
        <v>0</v>
      </c>
      <c r="AA10" s="1128"/>
      <c r="AB10" s="1128"/>
      <c r="AC10" s="1128"/>
      <c r="AD10" s="1128"/>
      <c r="AE10" s="1130">
        <f t="shared" si="4"/>
        <v>0</v>
      </c>
      <c r="AF10" s="779"/>
      <c r="AG10" s="794" t="str">
        <f t="shared" si="5"/>
        <v xml:space="preserve"> </v>
      </c>
      <c r="AH10" s="794" t="str">
        <f t="shared" si="6"/>
        <v xml:space="preserve"> </v>
      </c>
      <c r="AI10" s="784" t="str">
        <f t="shared" si="7"/>
        <v xml:space="preserve"> </v>
      </c>
      <c r="AJ10" s="784" t="str">
        <f t="shared" si="1"/>
        <v xml:space="preserve"> </v>
      </c>
      <c r="AK10" s="791"/>
    </row>
    <row r="11" spans="1:37" ht="15.75">
      <c r="A11" s="396">
        <v>7</v>
      </c>
      <c r="B11" s="1122">
        <f>'P1 Chemicals'!B14</f>
        <v>0</v>
      </c>
      <c r="C11" s="1122">
        <f>PurchaseSaleWorksheet!B11</f>
        <v>0</v>
      </c>
      <c r="D11" s="1123">
        <f t="shared" si="0"/>
        <v>0</v>
      </c>
      <c r="E11" s="776"/>
      <c r="F11" s="1124">
        <f>'P4 Filters'!B11</f>
        <v>0</v>
      </c>
      <c r="G11" s="1124">
        <f>'P11 Clarifiers'!B11</f>
        <v>0</v>
      </c>
      <c r="H11" s="1128"/>
      <c r="I11" s="1128"/>
      <c r="J11" s="775"/>
      <c r="K11" s="1128"/>
      <c r="L11" s="1128"/>
      <c r="M11" s="1128"/>
      <c r="N11" s="1128"/>
      <c r="O11" s="775"/>
      <c r="P11" s="1128"/>
      <c r="Q11" s="1128"/>
      <c r="R11" s="1128"/>
      <c r="S11" s="775"/>
      <c r="T11" s="1128"/>
      <c r="U11" s="1128"/>
      <c r="V11" s="1128"/>
      <c r="W11" s="1124">
        <f t="shared" si="2"/>
        <v>0</v>
      </c>
      <c r="X11" s="1129">
        <f t="shared" si="3"/>
        <v>0</v>
      </c>
      <c r="Y11" s="775"/>
      <c r="Z11" s="1124">
        <f>PurchaseSaleWorksheet!C11</f>
        <v>0</v>
      </c>
      <c r="AA11" s="1128"/>
      <c r="AB11" s="1128"/>
      <c r="AC11" s="1128"/>
      <c r="AD11" s="1128"/>
      <c r="AE11" s="1130">
        <f t="shared" si="4"/>
        <v>0</v>
      </c>
      <c r="AF11" s="779"/>
      <c r="AG11" s="794" t="str">
        <f t="shared" si="5"/>
        <v xml:space="preserve"> </v>
      </c>
      <c r="AH11" s="794" t="str">
        <f t="shared" si="6"/>
        <v xml:space="preserve"> </v>
      </c>
      <c r="AI11" s="784" t="str">
        <f t="shared" si="7"/>
        <v xml:space="preserve"> </v>
      </c>
      <c r="AJ11" s="784" t="str">
        <f t="shared" si="1"/>
        <v xml:space="preserve"> </v>
      </c>
      <c r="AK11" s="791"/>
    </row>
    <row r="12" spans="1:37" ht="15.75">
      <c r="A12" s="396">
        <v>8</v>
      </c>
      <c r="B12" s="1122">
        <f>'P1 Chemicals'!B15</f>
        <v>0</v>
      </c>
      <c r="C12" s="1122">
        <f>PurchaseSaleWorksheet!B12</f>
        <v>0</v>
      </c>
      <c r="D12" s="1123">
        <f t="shared" si="0"/>
        <v>0</v>
      </c>
      <c r="E12" s="776"/>
      <c r="F12" s="1124">
        <f>'P4 Filters'!B12</f>
        <v>0</v>
      </c>
      <c r="G12" s="1124">
        <f>'P11 Clarifiers'!B12</f>
        <v>0</v>
      </c>
      <c r="H12" s="1128"/>
      <c r="I12" s="1128"/>
      <c r="J12" s="775"/>
      <c r="K12" s="1128"/>
      <c r="L12" s="1128"/>
      <c r="M12" s="1128"/>
      <c r="N12" s="1128"/>
      <c r="O12" s="775"/>
      <c r="P12" s="1128"/>
      <c r="Q12" s="1128"/>
      <c r="R12" s="1128"/>
      <c r="S12" s="775"/>
      <c r="T12" s="1128"/>
      <c r="U12" s="1128"/>
      <c r="V12" s="1128"/>
      <c r="W12" s="1124">
        <f t="shared" si="2"/>
        <v>0</v>
      </c>
      <c r="X12" s="1129">
        <f t="shared" si="3"/>
        <v>0</v>
      </c>
      <c r="Y12" s="775"/>
      <c r="Z12" s="1124">
        <f>PurchaseSaleWorksheet!C12</f>
        <v>0</v>
      </c>
      <c r="AA12" s="1128"/>
      <c r="AB12" s="1128"/>
      <c r="AC12" s="1128"/>
      <c r="AD12" s="1128"/>
      <c r="AE12" s="1130">
        <f t="shared" si="4"/>
        <v>0</v>
      </c>
      <c r="AF12" s="779"/>
      <c r="AG12" s="794" t="str">
        <f t="shared" si="5"/>
        <v xml:space="preserve"> </v>
      </c>
      <c r="AH12" s="794" t="str">
        <f t="shared" si="6"/>
        <v xml:space="preserve"> </v>
      </c>
      <c r="AI12" s="784" t="str">
        <f t="shared" si="7"/>
        <v xml:space="preserve"> </v>
      </c>
      <c r="AJ12" s="784" t="str">
        <f t="shared" si="1"/>
        <v xml:space="preserve"> </v>
      </c>
      <c r="AK12" s="791"/>
    </row>
    <row r="13" spans="1:37" ht="15.75">
      <c r="A13" s="396">
        <v>9</v>
      </c>
      <c r="B13" s="1122">
        <f>'P1 Chemicals'!B16</f>
        <v>0</v>
      </c>
      <c r="C13" s="1122">
        <f>PurchaseSaleWorksheet!B13</f>
        <v>0</v>
      </c>
      <c r="D13" s="1123">
        <f t="shared" si="0"/>
        <v>0</v>
      </c>
      <c r="E13" s="776"/>
      <c r="F13" s="1124">
        <f>'P4 Filters'!B13</f>
        <v>0</v>
      </c>
      <c r="G13" s="1124">
        <f>'P11 Clarifiers'!B13</f>
        <v>0</v>
      </c>
      <c r="H13" s="1128"/>
      <c r="I13" s="1128"/>
      <c r="J13" s="775"/>
      <c r="K13" s="1128"/>
      <c r="L13" s="1128"/>
      <c r="M13" s="1128"/>
      <c r="N13" s="1128"/>
      <c r="O13" s="775"/>
      <c r="P13" s="1128"/>
      <c r="Q13" s="1128"/>
      <c r="R13" s="1128"/>
      <c r="S13" s="775"/>
      <c r="T13" s="1128"/>
      <c r="U13" s="1128"/>
      <c r="V13" s="1128"/>
      <c r="W13" s="1124">
        <f t="shared" si="2"/>
        <v>0</v>
      </c>
      <c r="X13" s="1129">
        <f t="shared" si="3"/>
        <v>0</v>
      </c>
      <c r="Y13" s="775"/>
      <c r="Z13" s="1124">
        <f>PurchaseSaleWorksheet!C13</f>
        <v>0</v>
      </c>
      <c r="AA13" s="1128"/>
      <c r="AB13" s="1128"/>
      <c r="AC13" s="1128"/>
      <c r="AD13" s="1128"/>
      <c r="AE13" s="1130">
        <f t="shared" si="4"/>
        <v>0</v>
      </c>
      <c r="AF13" s="779"/>
      <c r="AG13" s="794" t="str">
        <f t="shared" si="5"/>
        <v xml:space="preserve"> </v>
      </c>
      <c r="AH13" s="794" t="str">
        <f t="shared" si="6"/>
        <v xml:space="preserve"> </v>
      </c>
      <c r="AI13" s="784" t="str">
        <f t="shared" si="7"/>
        <v xml:space="preserve"> </v>
      </c>
      <c r="AJ13" s="784" t="str">
        <f t="shared" si="1"/>
        <v xml:space="preserve"> </v>
      </c>
      <c r="AK13" s="791"/>
    </row>
    <row r="14" spans="1:37" ht="15.75">
      <c r="A14" s="396">
        <v>10</v>
      </c>
      <c r="B14" s="1122">
        <f>'P1 Chemicals'!B17</f>
        <v>0</v>
      </c>
      <c r="C14" s="1122">
        <f>PurchaseSaleWorksheet!B14</f>
        <v>0</v>
      </c>
      <c r="D14" s="1123">
        <f t="shared" si="0"/>
        <v>0</v>
      </c>
      <c r="E14" s="776"/>
      <c r="F14" s="1124">
        <f>'P4 Filters'!B14</f>
        <v>0</v>
      </c>
      <c r="G14" s="1124">
        <f>'P11 Clarifiers'!B14</f>
        <v>0</v>
      </c>
      <c r="H14" s="1128"/>
      <c r="I14" s="1128"/>
      <c r="J14" s="775"/>
      <c r="K14" s="1128"/>
      <c r="L14" s="1128"/>
      <c r="M14" s="1128"/>
      <c r="N14" s="1128"/>
      <c r="O14" s="775"/>
      <c r="P14" s="1128"/>
      <c r="Q14" s="1128"/>
      <c r="R14" s="1128"/>
      <c r="S14" s="775"/>
      <c r="T14" s="1128"/>
      <c r="U14" s="1128"/>
      <c r="V14" s="1128"/>
      <c r="W14" s="1124">
        <f t="shared" si="2"/>
        <v>0</v>
      </c>
      <c r="X14" s="1129">
        <f t="shared" si="3"/>
        <v>0</v>
      </c>
      <c r="Y14" s="775"/>
      <c r="Z14" s="1124">
        <f>PurchaseSaleWorksheet!C14</f>
        <v>0</v>
      </c>
      <c r="AA14" s="1128"/>
      <c r="AB14" s="1128"/>
      <c r="AC14" s="1128"/>
      <c r="AD14" s="1128"/>
      <c r="AE14" s="1130">
        <f t="shared" si="4"/>
        <v>0</v>
      </c>
      <c r="AF14" s="779"/>
      <c r="AG14" s="794" t="str">
        <f t="shared" si="5"/>
        <v xml:space="preserve"> </v>
      </c>
      <c r="AH14" s="794" t="str">
        <f t="shared" si="6"/>
        <v xml:space="preserve"> </v>
      </c>
      <c r="AI14" s="784" t="str">
        <f t="shared" si="7"/>
        <v xml:space="preserve"> </v>
      </c>
      <c r="AJ14" s="784" t="str">
        <f t="shared" si="1"/>
        <v xml:space="preserve"> </v>
      </c>
      <c r="AK14" s="791"/>
    </row>
    <row r="15" spans="1:37" ht="15.75">
      <c r="A15" s="396">
        <v>11</v>
      </c>
      <c r="B15" s="1122">
        <f>'P1 Chemicals'!B18</f>
        <v>0</v>
      </c>
      <c r="C15" s="1122">
        <f>PurchaseSaleWorksheet!B15</f>
        <v>0</v>
      </c>
      <c r="D15" s="1123">
        <f t="shared" si="0"/>
        <v>0</v>
      </c>
      <c r="E15" s="776"/>
      <c r="F15" s="1124">
        <f>'P4 Filters'!B15</f>
        <v>0</v>
      </c>
      <c r="G15" s="1124">
        <f>'P11 Clarifiers'!B15</f>
        <v>0</v>
      </c>
      <c r="H15" s="1128"/>
      <c r="I15" s="1128"/>
      <c r="J15" s="775"/>
      <c r="K15" s="1128"/>
      <c r="L15" s="1128"/>
      <c r="M15" s="1128"/>
      <c r="N15" s="1128"/>
      <c r="O15" s="775"/>
      <c r="P15" s="1128"/>
      <c r="Q15" s="1128"/>
      <c r="R15" s="1128"/>
      <c r="S15" s="775"/>
      <c r="T15" s="1128"/>
      <c r="U15" s="1128"/>
      <c r="V15" s="1128"/>
      <c r="W15" s="1124">
        <f t="shared" si="2"/>
        <v>0</v>
      </c>
      <c r="X15" s="1129">
        <f t="shared" si="3"/>
        <v>0</v>
      </c>
      <c r="Y15" s="775"/>
      <c r="Z15" s="1124">
        <f>PurchaseSaleWorksheet!C15</f>
        <v>0</v>
      </c>
      <c r="AA15" s="1128"/>
      <c r="AB15" s="1128"/>
      <c r="AC15" s="1128"/>
      <c r="AD15" s="1128"/>
      <c r="AE15" s="1130">
        <f t="shared" si="4"/>
        <v>0</v>
      </c>
      <c r="AF15" s="779"/>
      <c r="AG15" s="794" t="str">
        <f t="shared" si="5"/>
        <v xml:space="preserve"> </v>
      </c>
      <c r="AH15" s="794" t="str">
        <f t="shared" si="6"/>
        <v xml:space="preserve"> </v>
      </c>
      <c r="AI15" s="784" t="str">
        <f t="shared" si="7"/>
        <v xml:space="preserve"> </v>
      </c>
      <c r="AJ15" s="784" t="str">
        <f t="shared" si="1"/>
        <v xml:space="preserve"> </v>
      </c>
      <c r="AK15" s="791"/>
    </row>
    <row r="16" spans="1:37" ht="15.75">
      <c r="A16" s="396">
        <v>12</v>
      </c>
      <c r="B16" s="1122">
        <f>'P1 Chemicals'!B19</f>
        <v>0</v>
      </c>
      <c r="C16" s="1122">
        <f>PurchaseSaleWorksheet!B16</f>
        <v>0</v>
      </c>
      <c r="D16" s="1123">
        <f t="shared" si="0"/>
        <v>0</v>
      </c>
      <c r="E16" s="776"/>
      <c r="F16" s="1124">
        <f>'P4 Filters'!B16</f>
        <v>0</v>
      </c>
      <c r="G16" s="1124">
        <f>'P11 Clarifiers'!B16</f>
        <v>0</v>
      </c>
      <c r="H16" s="1128"/>
      <c r="I16" s="1128"/>
      <c r="J16" s="775"/>
      <c r="K16" s="1128"/>
      <c r="L16" s="1128"/>
      <c r="M16" s="1128"/>
      <c r="N16" s="1128"/>
      <c r="O16" s="775"/>
      <c r="P16" s="1128"/>
      <c r="Q16" s="1128"/>
      <c r="R16" s="1128"/>
      <c r="S16" s="775"/>
      <c r="T16" s="1128"/>
      <c r="U16" s="1128"/>
      <c r="V16" s="1128"/>
      <c r="W16" s="1124">
        <f t="shared" si="2"/>
        <v>0</v>
      </c>
      <c r="X16" s="1129">
        <f t="shared" si="3"/>
        <v>0</v>
      </c>
      <c r="Y16" s="775"/>
      <c r="Z16" s="1124">
        <f>PurchaseSaleWorksheet!C16</f>
        <v>0</v>
      </c>
      <c r="AA16" s="1128"/>
      <c r="AB16" s="1128"/>
      <c r="AC16" s="1128"/>
      <c r="AD16" s="1128"/>
      <c r="AE16" s="1130">
        <f t="shared" si="4"/>
        <v>0</v>
      </c>
      <c r="AF16" s="779"/>
      <c r="AG16" s="794" t="str">
        <f t="shared" si="5"/>
        <v xml:space="preserve"> </v>
      </c>
      <c r="AH16" s="794" t="str">
        <f t="shared" si="6"/>
        <v xml:space="preserve"> </v>
      </c>
      <c r="AI16" s="784" t="str">
        <f t="shared" si="7"/>
        <v xml:space="preserve"> </v>
      </c>
      <c r="AJ16" s="784" t="str">
        <f t="shared" si="1"/>
        <v xml:space="preserve"> </v>
      </c>
      <c r="AK16" s="791"/>
    </row>
    <row r="17" spans="1:37" ht="15.75">
      <c r="A17" s="396">
        <v>13</v>
      </c>
      <c r="B17" s="1122">
        <f>'P1 Chemicals'!B20</f>
        <v>0</v>
      </c>
      <c r="C17" s="1122">
        <f>PurchaseSaleWorksheet!B17</f>
        <v>0</v>
      </c>
      <c r="D17" s="1123">
        <f t="shared" si="0"/>
        <v>0</v>
      </c>
      <c r="E17" s="776"/>
      <c r="F17" s="1124">
        <f>'P4 Filters'!B17</f>
        <v>0</v>
      </c>
      <c r="G17" s="1124">
        <f>'P11 Clarifiers'!B17</f>
        <v>0</v>
      </c>
      <c r="H17" s="1128"/>
      <c r="I17" s="1128"/>
      <c r="J17" s="775"/>
      <c r="K17" s="1128"/>
      <c r="L17" s="1128"/>
      <c r="M17" s="1128"/>
      <c r="N17" s="1128"/>
      <c r="O17" s="775"/>
      <c r="P17" s="1128"/>
      <c r="Q17" s="1128"/>
      <c r="R17" s="1128"/>
      <c r="S17" s="775"/>
      <c r="T17" s="1128"/>
      <c r="U17" s="1128"/>
      <c r="V17" s="1128"/>
      <c r="W17" s="1124">
        <f t="shared" si="2"/>
        <v>0</v>
      </c>
      <c r="X17" s="1129">
        <f t="shared" si="3"/>
        <v>0</v>
      </c>
      <c r="Y17" s="775"/>
      <c r="Z17" s="1124">
        <f>PurchaseSaleWorksheet!C17</f>
        <v>0</v>
      </c>
      <c r="AA17" s="1128"/>
      <c r="AB17" s="1128"/>
      <c r="AC17" s="1128"/>
      <c r="AD17" s="1128"/>
      <c r="AE17" s="1130">
        <f t="shared" si="4"/>
        <v>0</v>
      </c>
      <c r="AF17" s="779"/>
      <c r="AG17" s="794" t="str">
        <f t="shared" si="5"/>
        <v xml:space="preserve"> </v>
      </c>
      <c r="AH17" s="794" t="str">
        <f t="shared" si="6"/>
        <v xml:space="preserve"> </v>
      </c>
      <c r="AI17" s="784" t="str">
        <f t="shared" si="7"/>
        <v xml:space="preserve"> </v>
      </c>
      <c r="AJ17" s="784" t="str">
        <f t="shared" si="1"/>
        <v xml:space="preserve"> </v>
      </c>
      <c r="AK17" s="791"/>
    </row>
    <row r="18" spans="1:37" ht="15.75">
      <c r="A18" s="396">
        <v>14</v>
      </c>
      <c r="B18" s="1122">
        <f>'P1 Chemicals'!B21</f>
        <v>0</v>
      </c>
      <c r="C18" s="1122">
        <f>PurchaseSaleWorksheet!B18</f>
        <v>0</v>
      </c>
      <c r="D18" s="1123">
        <f t="shared" si="0"/>
        <v>0</v>
      </c>
      <c r="E18" s="776"/>
      <c r="F18" s="1124">
        <f>'P4 Filters'!B18</f>
        <v>0</v>
      </c>
      <c r="G18" s="1124">
        <f>'P11 Clarifiers'!B18</f>
        <v>0</v>
      </c>
      <c r="H18" s="1128"/>
      <c r="I18" s="1128"/>
      <c r="J18" s="775"/>
      <c r="K18" s="1128"/>
      <c r="L18" s="1128"/>
      <c r="M18" s="1128"/>
      <c r="N18" s="1128"/>
      <c r="O18" s="775"/>
      <c r="P18" s="1128"/>
      <c r="Q18" s="1128"/>
      <c r="R18" s="1128"/>
      <c r="S18" s="775"/>
      <c r="T18" s="1128"/>
      <c r="U18" s="1128"/>
      <c r="V18" s="1128"/>
      <c r="W18" s="1124">
        <f t="shared" si="2"/>
        <v>0</v>
      </c>
      <c r="X18" s="1129">
        <f t="shared" si="3"/>
        <v>0</v>
      </c>
      <c r="Y18" s="775"/>
      <c r="Z18" s="1124">
        <f>PurchaseSaleWorksheet!C18</f>
        <v>0</v>
      </c>
      <c r="AA18" s="1128"/>
      <c r="AB18" s="1128"/>
      <c r="AC18" s="1128"/>
      <c r="AD18" s="1128"/>
      <c r="AE18" s="1130">
        <f t="shared" si="4"/>
        <v>0</v>
      </c>
      <c r="AF18" s="779"/>
      <c r="AG18" s="794" t="str">
        <f t="shared" si="5"/>
        <v xml:space="preserve"> </v>
      </c>
      <c r="AH18" s="794" t="str">
        <f t="shared" si="6"/>
        <v xml:space="preserve"> </v>
      </c>
      <c r="AI18" s="784" t="str">
        <f t="shared" si="7"/>
        <v xml:space="preserve"> </v>
      </c>
      <c r="AJ18" s="784" t="str">
        <f t="shared" si="1"/>
        <v xml:space="preserve"> </v>
      </c>
      <c r="AK18" s="791"/>
    </row>
    <row r="19" spans="1:37" ht="15.75">
      <c r="A19" s="396">
        <v>15</v>
      </c>
      <c r="B19" s="1122">
        <f>'P1 Chemicals'!B22</f>
        <v>0</v>
      </c>
      <c r="C19" s="1122">
        <f>PurchaseSaleWorksheet!B19</f>
        <v>0</v>
      </c>
      <c r="D19" s="1123">
        <f t="shared" si="0"/>
        <v>0</v>
      </c>
      <c r="E19" s="776"/>
      <c r="F19" s="1124">
        <f>'P4 Filters'!B19</f>
        <v>0</v>
      </c>
      <c r="G19" s="1124">
        <f>'P11 Clarifiers'!B19</f>
        <v>0</v>
      </c>
      <c r="H19" s="1128"/>
      <c r="I19" s="1128"/>
      <c r="J19" s="775"/>
      <c r="K19" s="1128"/>
      <c r="L19" s="1128"/>
      <c r="M19" s="1128"/>
      <c r="N19" s="1128"/>
      <c r="O19" s="775"/>
      <c r="P19" s="1128"/>
      <c r="Q19" s="1128"/>
      <c r="R19" s="1128"/>
      <c r="S19" s="775"/>
      <c r="T19" s="1128"/>
      <c r="U19" s="1128"/>
      <c r="V19" s="1128"/>
      <c r="W19" s="1124">
        <f t="shared" si="2"/>
        <v>0</v>
      </c>
      <c r="X19" s="1129">
        <f t="shared" si="3"/>
        <v>0</v>
      </c>
      <c r="Y19" s="775"/>
      <c r="Z19" s="1124">
        <f>PurchaseSaleWorksheet!C19</f>
        <v>0</v>
      </c>
      <c r="AA19" s="1128"/>
      <c r="AB19" s="1128"/>
      <c r="AC19" s="1128"/>
      <c r="AD19" s="1128"/>
      <c r="AE19" s="1130">
        <f t="shared" si="4"/>
        <v>0</v>
      </c>
      <c r="AF19" s="779"/>
      <c r="AG19" s="794" t="str">
        <f t="shared" si="5"/>
        <v xml:space="preserve"> </v>
      </c>
      <c r="AH19" s="794" t="str">
        <f t="shared" si="6"/>
        <v xml:space="preserve"> </v>
      </c>
      <c r="AI19" s="784" t="str">
        <f t="shared" si="7"/>
        <v xml:space="preserve"> </v>
      </c>
      <c r="AJ19" s="784" t="str">
        <f t="shared" si="1"/>
        <v xml:space="preserve"> </v>
      </c>
      <c r="AK19" s="791"/>
    </row>
    <row r="20" spans="1:37" ht="15.75">
      <c r="A20" s="396">
        <v>16</v>
      </c>
      <c r="B20" s="1122">
        <f>'P1 Chemicals'!B23</f>
        <v>0</v>
      </c>
      <c r="C20" s="1122">
        <f>PurchaseSaleWorksheet!B20</f>
        <v>0</v>
      </c>
      <c r="D20" s="1123">
        <f t="shared" si="0"/>
        <v>0</v>
      </c>
      <c r="E20" s="776"/>
      <c r="F20" s="1124">
        <f>'P4 Filters'!B20</f>
        <v>0</v>
      </c>
      <c r="G20" s="1124">
        <f>'P11 Clarifiers'!B20</f>
        <v>0</v>
      </c>
      <c r="H20" s="1128"/>
      <c r="I20" s="1128"/>
      <c r="J20" s="775"/>
      <c r="K20" s="1128"/>
      <c r="L20" s="1128"/>
      <c r="M20" s="1128"/>
      <c r="N20" s="1128"/>
      <c r="O20" s="775"/>
      <c r="P20" s="1128"/>
      <c r="Q20" s="1128"/>
      <c r="R20" s="1128"/>
      <c r="S20" s="775"/>
      <c r="T20" s="1128"/>
      <c r="U20" s="1128"/>
      <c r="V20" s="1128"/>
      <c r="W20" s="1124">
        <f t="shared" si="2"/>
        <v>0</v>
      </c>
      <c r="X20" s="1129">
        <f t="shared" si="3"/>
        <v>0</v>
      </c>
      <c r="Y20" s="775"/>
      <c r="Z20" s="1124">
        <f>PurchaseSaleWorksheet!C20</f>
        <v>0</v>
      </c>
      <c r="AA20" s="1128"/>
      <c r="AB20" s="1128"/>
      <c r="AC20" s="1128"/>
      <c r="AD20" s="1128"/>
      <c r="AE20" s="1130">
        <f t="shared" si="4"/>
        <v>0</v>
      </c>
      <c r="AF20" s="779"/>
      <c r="AG20" s="794" t="str">
        <f t="shared" si="5"/>
        <v xml:space="preserve"> </v>
      </c>
      <c r="AH20" s="794" t="str">
        <f t="shared" si="6"/>
        <v xml:space="preserve"> </v>
      </c>
      <c r="AI20" s="784" t="str">
        <f t="shared" si="7"/>
        <v xml:space="preserve"> </v>
      </c>
      <c r="AJ20" s="784" t="str">
        <f t="shared" si="1"/>
        <v xml:space="preserve"> </v>
      </c>
      <c r="AK20" s="791"/>
    </row>
    <row r="21" spans="1:37" ht="15.75">
      <c r="A21" s="396">
        <v>17</v>
      </c>
      <c r="B21" s="1122">
        <f>'P1 Chemicals'!B24</f>
        <v>0</v>
      </c>
      <c r="C21" s="1122">
        <f>PurchaseSaleWorksheet!B21</f>
        <v>0</v>
      </c>
      <c r="D21" s="1123">
        <f t="shared" si="0"/>
        <v>0</v>
      </c>
      <c r="E21" s="776"/>
      <c r="F21" s="1124">
        <f>'P4 Filters'!B21</f>
        <v>0</v>
      </c>
      <c r="G21" s="1124">
        <f>'P11 Clarifiers'!B21</f>
        <v>0</v>
      </c>
      <c r="H21" s="1128"/>
      <c r="I21" s="1128"/>
      <c r="J21" s="775"/>
      <c r="K21" s="1128"/>
      <c r="L21" s="1128"/>
      <c r="M21" s="1128"/>
      <c r="N21" s="1128"/>
      <c r="O21" s="775"/>
      <c r="P21" s="1128"/>
      <c r="Q21" s="1128"/>
      <c r="R21" s="1128"/>
      <c r="S21" s="775"/>
      <c r="T21" s="1128"/>
      <c r="U21" s="1128"/>
      <c r="V21" s="1128"/>
      <c r="W21" s="1124">
        <f t="shared" si="2"/>
        <v>0</v>
      </c>
      <c r="X21" s="1129">
        <f t="shared" si="3"/>
        <v>0</v>
      </c>
      <c r="Y21" s="775"/>
      <c r="Z21" s="1124">
        <f>PurchaseSaleWorksheet!C21</f>
        <v>0</v>
      </c>
      <c r="AA21" s="1128"/>
      <c r="AB21" s="1128"/>
      <c r="AC21" s="1128"/>
      <c r="AD21" s="1128"/>
      <c r="AE21" s="1130">
        <f t="shared" si="4"/>
        <v>0</v>
      </c>
      <c r="AF21" s="779"/>
      <c r="AG21" s="794" t="str">
        <f t="shared" si="5"/>
        <v xml:space="preserve"> </v>
      </c>
      <c r="AH21" s="794" t="str">
        <f t="shared" si="6"/>
        <v xml:space="preserve"> </v>
      </c>
      <c r="AI21" s="784" t="str">
        <f t="shared" si="7"/>
        <v xml:space="preserve"> </v>
      </c>
      <c r="AJ21" s="784" t="str">
        <f t="shared" si="1"/>
        <v xml:space="preserve"> </v>
      </c>
      <c r="AK21" s="791"/>
    </row>
    <row r="22" spans="1:37" ht="15.75">
      <c r="A22" s="396">
        <v>18</v>
      </c>
      <c r="B22" s="1122">
        <f>'P1 Chemicals'!B25</f>
        <v>0</v>
      </c>
      <c r="C22" s="1122">
        <f>PurchaseSaleWorksheet!B22</f>
        <v>0</v>
      </c>
      <c r="D22" s="1123">
        <f t="shared" si="0"/>
        <v>0</v>
      </c>
      <c r="E22" s="776"/>
      <c r="F22" s="1124">
        <f>'P4 Filters'!B22</f>
        <v>0</v>
      </c>
      <c r="G22" s="1124">
        <f>'P11 Clarifiers'!B22</f>
        <v>0</v>
      </c>
      <c r="H22" s="1128"/>
      <c r="I22" s="1128"/>
      <c r="J22" s="775"/>
      <c r="K22" s="1128"/>
      <c r="L22" s="1128"/>
      <c r="M22" s="1128"/>
      <c r="N22" s="1128"/>
      <c r="O22" s="775"/>
      <c r="P22" s="1128"/>
      <c r="Q22" s="1128"/>
      <c r="R22" s="1128"/>
      <c r="S22" s="775"/>
      <c r="T22" s="1128"/>
      <c r="U22" s="1128"/>
      <c r="V22" s="1128"/>
      <c r="W22" s="1124">
        <f t="shared" si="2"/>
        <v>0</v>
      </c>
      <c r="X22" s="1129">
        <f t="shared" si="3"/>
        <v>0</v>
      </c>
      <c r="Y22" s="775"/>
      <c r="Z22" s="1124">
        <f>PurchaseSaleWorksheet!C22</f>
        <v>0</v>
      </c>
      <c r="AA22" s="1128"/>
      <c r="AB22" s="1128"/>
      <c r="AC22" s="1128"/>
      <c r="AD22" s="1128"/>
      <c r="AE22" s="1130">
        <f t="shared" si="4"/>
        <v>0</v>
      </c>
      <c r="AF22" s="779"/>
      <c r="AG22" s="794" t="str">
        <f t="shared" si="5"/>
        <v xml:space="preserve"> </v>
      </c>
      <c r="AH22" s="794" t="str">
        <f t="shared" si="6"/>
        <v xml:space="preserve"> </v>
      </c>
      <c r="AI22" s="784" t="str">
        <f t="shared" si="7"/>
        <v xml:space="preserve"> </v>
      </c>
      <c r="AJ22" s="784" t="str">
        <f t="shared" si="1"/>
        <v xml:space="preserve"> </v>
      </c>
      <c r="AK22" s="791"/>
    </row>
    <row r="23" spans="1:37" ht="15.75">
      <c r="A23" s="396">
        <v>19</v>
      </c>
      <c r="B23" s="1122">
        <f>'P1 Chemicals'!B26</f>
        <v>0</v>
      </c>
      <c r="C23" s="1122">
        <f>PurchaseSaleWorksheet!B23</f>
        <v>0</v>
      </c>
      <c r="D23" s="1123">
        <f t="shared" si="0"/>
        <v>0</v>
      </c>
      <c r="E23" s="776"/>
      <c r="F23" s="1124">
        <f>'P4 Filters'!B23</f>
        <v>0</v>
      </c>
      <c r="G23" s="1124">
        <f>'P11 Clarifiers'!B23</f>
        <v>0</v>
      </c>
      <c r="H23" s="1128"/>
      <c r="I23" s="1128"/>
      <c r="J23" s="775"/>
      <c r="K23" s="1128"/>
      <c r="L23" s="1128"/>
      <c r="M23" s="1128"/>
      <c r="N23" s="1128"/>
      <c r="O23" s="775"/>
      <c r="P23" s="1128"/>
      <c r="Q23" s="1128"/>
      <c r="R23" s="1128"/>
      <c r="S23" s="775"/>
      <c r="T23" s="1128"/>
      <c r="U23" s="1128"/>
      <c r="V23" s="1128"/>
      <c r="W23" s="1124">
        <f t="shared" si="2"/>
        <v>0</v>
      </c>
      <c r="X23" s="1129">
        <f t="shared" si="3"/>
        <v>0</v>
      </c>
      <c r="Y23" s="775"/>
      <c r="Z23" s="1124">
        <f>PurchaseSaleWorksheet!C23</f>
        <v>0</v>
      </c>
      <c r="AA23" s="1128"/>
      <c r="AB23" s="1128"/>
      <c r="AC23" s="1128"/>
      <c r="AD23" s="1128"/>
      <c r="AE23" s="1130">
        <f t="shared" si="4"/>
        <v>0</v>
      </c>
      <c r="AF23" s="779"/>
      <c r="AG23" s="794" t="str">
        <f t="shared" si="5"/>
        <v xml:space="preserve"> </v>
      </c>
      <c r="AH23" s="794" t="str">
        <f t="shared" si="6"/>
        <v xml:space="preserve"> </v>
      </c>
      <c r="AI23" s="784" t="str">
        <f t="shared" si="7"/>
        <v xml:space="preserve"> </v>
      </c>
      <c r="AJ23" s="784" t="str">
        <f t="shared" si="1"/>
        <v xml:space="preserve"> </v>
      </c>
      <c r="AK23" s="791"/>
    </row>
    <row r="24" spans="1:37" ht="15.75">
      <c r="A24" s="396">
        <v>20</v>
      </c>
      <c r="B24" s="1122">
        <f>'P1 Chemicals'!B27</f>
        <v>0</v>
      </c>
      <c r="C24" s="1122">
        <f>PurchaseSaleWorksheet!B24</f>
        <v>0</v>
      </c>
      <c r="D24" s="1123">
        <f t="shared" si="0"/>
        <v>0</v>
      </c>
      <c r="E24" s="776"/>
      <c r="F24" s="1124">
        <f>'P4 Filters'!B24</f>
        <v>0</v>
      </c>
      <c r="G24" s="1124">
        <f>'P11 Clarifiers'!B24</f>
        <v>0</v>
      </c>
      <c r="H24" s="1128"/>
      <c r="I24" s="1128"/>
      <c r="J24" s="775"/>
      <c r="K24" s="1128"/>
      <c r="L24" s="1128"/>
      <c r="M24" s="1128"/>
      <c r="N24" s="1128"/>
      <c r="O24" s="775"/>
      <c r="P24" s="1128"/>
      <c r="Q24" s="1128"/>
      <c r="R24" s="1128"/>
      <c r="S24" s="775"/>
      <c r="T24" s="1128"/>
      <c r="U24" s="1128"/>
      <c r="V24" s="1128"/>
      <c r="W24" s="1124">
        <f t="shared" si="2"/>
        <v>0</v>
      </c>
      <c r="X24" s="1129">
        <f t="shared" si="3"/>
        <v>0</v>
      </c>
      <c r="Y24" s="775"/>
      <c r="Z24" s="1124">
        <f>PurchaseSaleWorksheet!C24</f>
        <v>0</v>
      </c>
      <c r="AA24" s="1128"/>
      <c r="AB24" s="1128"/>
      <c r="AC24" s="1128"/>
      <c r="AD24" s="1128"/>
      <c r="AE24" s="1130">
        <f t="shared" si="4"/>
        <v>0</v>
      </c>
      <c r="AF24" s="779"/>
      <c r="AG24" s="794" t="str">
        <f t="shared" si="5"/>
        <v xml:space="preserve"> </v>
      </c>
      <c r="AH24" s="794" t="str">
        <f t="shared" si="6"/>
        <v xml:space="preserve"> </v>
      </c>
      <c r="AI24" s="784" t="str">
        <f t="shared" si="7"/>
        <v xml:space="preserve"> </v>
      </c>
      <c r="AJ24" s="784" t="str">
        <f t="shared" si="1"/>
        <v xml:space="preserve"> </v>
      </c>
      <c r="AK24" s="791"/>
    </row>
    <row r="25" spans="1:37" ht="15.75">
      <c r="A25" s="396">
        <v>21</v>
      </c>
      <c r="B25" s="1122">
        <f>'P1 Chemicals'!B28</f>
        <v>0</v>
      </c>
      <c r="C25" s="1122">
        <f>PurchaseSaleWorksheet!B25</f>
        <v>0</v>
      </c>
      <c r="D25" s="1123">
        <f t="shared" si="0"/>
        <v>0</v>
      </c>
      <c r="E25" s="776"/>
      <c r="F25" s="1124">
        <f>'P4 Filters'!B25</f>
        <v>0</v>
      </c>
      <c r="G25" s="1124">
        <f>'P11 Clarifiers'!B25</f>
        <v>0</v>
      </c>
      <c r="H25" s="1128"/>
      <c r="I25" s="1128"/>
      <c r="J25" s="775"/>
      <c r="K25" s="1128"/>
      <c r="L25" s="1128"/>
      <c r="M25" s="1128"/>
      <c r="N25" s="1128"/>
      <c r="O25" s="775"/>
      <c r="P25" s="1128"/>
      <c r="Q25" s="1128"/>
      <c r="R25" s="1128"/>
      <c r="S25" s="775"/>
      <c r="T25" s="1128"/>
      <c r="U25" s="1128"/>
      <c r="V25" s="1128"/>
      <c r="W25" s="1124">
        <f t="shared" si="2"/>
        <v>0</v>
      </c>
      <c r="X25" s="1129">
        <f t="shared" si="3"/>
        <v>0</v>
      </c>
      <c r="Y25" s="775"/>
      <c r="Z25" s="1124">
        <f>PurchaseSaleWorksheet!C25</f>
        <v>0</v>
      </c>
      <c r="AA25" s="1128"/>
      <c r="AB25" s="1128"/>
      <c r="AC25" s="1128"/>
      <c r="AD25" s="1128"/>
      <c r="AE25" s="1130">
        <f t="shared" si="4"/>
        <v>0</v>
      </c>
      <c r="AF25" s="779"/>
      <c r="AG25" s="794" t="str">
        <f t="shared" si="5"/>
        <v xml:space="preserve"> </v>
      </c>
      <c r="AH25" s="794" t="str">
        <f t="shared" si="6"/>
        <v xml:space="preserve"> </v>
      </c>
      <c r="AI25" s="784" t="str">
        <f t="shared" si="7"/>
        <v xml:space="preserve"> </v>
      </c>
      <c r="AJ25" s="784" t="str">
        <f t="shared" si="1"/>
        <v xml:space="preserve"> </v>
      </c>
      <c r="AK25" s="791"/>
    </row>
    <row r="26" spans="1:37" ht="15.75">
      <c r="A26" s="396">
        <v>22</v>
      </c>
      <c r="B26" s="1122">
        <f>'P1 Chemicals'!B29</f>
        <v>0</v>
      </c>
      <c r="C26" s="1122">
        <f>PurchaseSaleWorksheet!B26</f>
        <v>0</v>
      </c>
      <c r="D26" s="1123">
        <f t="shared" si="0"/>
        <v>0</v>
      </c>
      <c r="E26" s="776"/>
      <c r="F26" s="1124">
        <f>'P4 Filters'!B26</f>
        <v>0</v>
      </c>
      <c r="G26" s="1124">
        <f>'P11 Clarifiers'!B26</f>
        <v>0</v>
      </c>
      <c r="H26" s="1128"/>
      <c r="I26" s="1128"/>
      <c r="J26" s="775"/>
      <c r="K26" s="1128"/>
      <c r="L26" s="1128"/>
      <c r="M26" s="1128"/>
      <c r="N26" s="1128"/>
      <c r="O26" s="775"/>
      <c r="P26" s="1128"/>
      <c r="Q26" s="1128"/>
      <c r="R26" s="1128"/>
      <c r="S26" s="775"/>
      <c r="T26" s="1128"/>
      <c r="U26" s="1128"/>
      <c r="V26" s="1128"/>
      <c r="W26" s="1124">
        <f t="shared" si="2"/>
        <v>0</v>
      </c>
      <c r="X26" s="1129">
        <f t="shared" si="3"/>
        <v>0</v>
      </c>
      <c r="Y26" s="775"/>
      <c r="Z26" s="1124">
        <f>PurchaseSaleWorksheet!C26</f>
        <v>0</v>
      </c>
      <c r="AA26" s="1128"/>
      <c r="AB26" s="1128"/>
      <c r="AC26" s="1128"/>
      <c r="AD26" s="1128"/>
      <c r="AE26" s="1130">
        <f t="shared" si="4"/>
        <v>0</v>
      </c>
      <c r="AF26" s="779"/>
      <c r="AG26" s="794" t="str">
        <f t="shared" si="5"/>
        <v xml:space="preserve"> </v>
      </c>
      <c r="AH26" s="794" t="str">
        <f t="shared" si="6"/>
        <v xml:space="preserve"> </v>
      </c>
      <c r="AI26" s="784" t="str">
        <f t="shared" si="7"/>
        <v xml:space="preserve"> </v>
      </c>
      <c r="AJ26" s="784" t="str">
        <f t="shared" si="1"/>
        <v xml:space="preserve"> </v>
      </c>
      <c r="AK26" s="791"/>
    </row>
    <row r="27" spans="1:37" ht="15.75">
      <c r="A27" s="396">
        <v>23</v>
      </c>
      <c r="B27" s="1122">
        <f>'P1 Chemicals'!B30</f>
        <v>0</v>
      </c>
      <c r="C27" s="1122">
        <f>PurchaseSaleWorksheet!B27</f>
        <v>0</v>
      </c>
      <c r="D27" s="1123">
        <f t="shared" si="0"/>
        <v>0</v>
      </c>
      <c r="E27" s="776"/>
      <c r="F27" s="1124">
        <f>'P4 Filters'!B27</f>
        <v>0</v>
      </c>
      <c r="G27" s="1124">
        <f>'P11 Clarifiers'!B27</f>
        <v>0</v>
      </c>
      <c r="H27" s="1128"/>
      <c r="I27" s="1128"/>
      <c r="J27" s="775"/>
      <c r="K27" s="1128"/>
      <c r="L27" s="1128"/>
      <c r="M27" s="1128"/>
      <c r="N27" s="1128"/>
      <c r="O27" s="775"/>
      <c r="P27" s="1128"/>
      <c r="Q27" s="1128"/>
      <c r="R27" s="1128"/>
      <c r="S27" s="775"/>
      <c r="T27" s="1128"/>
      <c r="U27" s="1128"/>
      <c r="V27" s="1128"/>
      <c r="W27" s="1124">
        <f t="shared" si="2"/>
        <v>0</v>
      </c>
      <c r="X27" s="1129">
        <f t="shared" si="3"/>
        <v>0</v>
      </c>
      <c r="Y27" s="775"/>
      <c r="Z27" s="1124">
        <f>PurchaseSaleWorksheet!C27</f>
        <v>0</v>
      </c>
      <c r="AA27" s="1128"/>
      <c r="AB27" s="1128"/>
      <c r="AC27" s="1128"/>
      <c r="AD27" s="1128"/>
      <c r="AE27" s="1130">
        <f t="shared" si="4"/>
        <v>0</v>
      </c>
      <c r="AF27" s="779"/>
      <c r="AG27" s="794" t="str">
        <f t="shared" si="5"/>
        <v xml:space="preserve"> </v>
      </c>
      <c r="AH27" s="794" t="str">
        <f t="shared" si="6"/>
        <v xml:space="preserve"> </v>
      </c>
      <c r="AI27" s="784" t="str">
        <f t="shared" si="7"/>
        <v xml:space="preserve"> </v>
      </c>
      <c r="AJ27" s="784" t="str">
        <f t="shared" si="1"/>
        <v xml:space="preserve"> </v>
      </c>
      <c r="AK27" s="791"/>
    </row>
    <row r="28" spans="1:37" ht="15.75">
      <c r="A28" s="396">
        <v>24</v>
      </c>
      <c r="B28" s="1122">
        <f>'P1 Chemicals'!B31</f>
        <v>0</v>
      </c>
      <c r="C28" s="1122">
        <f>PurchaseSaleWorksheet!B28</f>
        <v>0</v>
      </c>
      <c r="D28" s="1123">
        <f t="shared" si="0"/>
        <v>0</v>
      </c>
      <c r="E28" s="776"/>
      <c r="F28" s="1124">
        <f>'P4 Filters'!B28</f>
        <v>0</v>
      </c>
      <c r="G28" s="1124">
        <f>'P11 Clarifiers'!B28</f>
        <v>0</v>
      </c>
      <c r="H28" s="1128"/>
      <c r="I28" s="1128"/>
      <c r="J28" s="775"/>
      <c r="K28" s="1128"/>
      <c r="L28" s="1128"/>
      <c r="M28" s="1128"/>
      <c r="N28" s="1128"/>
      <c r="O28" s="775"/>
      <c r="P28" s="1128"/>
      <c r="Q28" s="1128"/>
      <c r="R28" s="1128"/>
      <c r="S28" s="775"/>
      <c r="T28" s="1128"/>
      <c r="U28" s="1128"/>
      <c r="V28" s="1128"/>
      <c r="W28" s="1124">
        <f t="shared" si="2"/>
        <v>0</v>
      </c>
      <c r="X28" s="1129">
        <f t="shared" si="3"/>
        <v>0</v>
      </c>
      <c r="Y28" s="775"/>
      <c r="Z28" s="1124">
        <f>PurchaseSaleWorksheet!C28</f>
        <v>0</v>
      </c>
      <c r="AA28" s="1128"/>
      <c r="AB28" s="1128"/>
      <c r="AC28" s="1128"/>
      <c r="AD28" s="1128"/>
      <c r="AE28" s="1130">
        <f t="shared" si="4"/>
        <v>0</v>
      </c>
      <c r="AF28" s="779"/>
      <c r="AG28" s="794" t="str">
        <f t="shared" si="5"/>
        <v xml:space="preserve"> </v>
      </c>
      <c r="AH28" s="794" t="str">
        <f t="shared" si="6"/>
        <v xml:space="preserve"> </v>
      </c>
      <c r="AI28" s="784" t="str">
        <f t="shared" si="7"/>
        <v xml:space="preserve"> </v>
      </c>
      <c r="AJ28" s="784" t="str">
        <f t="shared" si="1"/>
        <v xml:space="preserve"> </v>
      </c>
      <c r="AK28" s="791"/>
    </row>
    <row r="29" spans="1:37" ht="15.75">
      <c r="A29" s="396">
        <v>25</v>
      </c>
      <c r="B29" s="1122">
        <f>'P1 Chemicals'!B32</f>
        <v>0</v>
      </c>
      <c r="C29" s="1122">
        <f>PurchaseSaleWorksheet!B29</f>
        <v>0</v>
      </c>
      <c r="D29" s="1123">
        <f t="shared" si="0"/>
        <v>0</v>
      </c>
      <c r="E29" s="776"/>
      <c r="F29" s="1124">
        <f>'P4 Filters'!B29</f>
        <v>0</v>
      </c>
      <c r="G29" s="1124">
        <f>'P11 Clarifiers'!B29</f>
        <v>0</v>
      </c>
      <c r="H29" s="1128"/>
      <c r="I29" s="1128"/>
      <c r="J29" s="775"/>
      <c r="K29" s="1128"/>
      <c r="L29" s="1128"/>
      <c r="M29" s="1128"/>
      <c r="N29" s="1128"/>
      <c r="O29" s="775"/>
      <c r="P29" s="1128"/>
      <c r="Q29" s="1128"/>
      <c r="R29" s="1128"/>
      <c r="S29" s="775"/>
      <c r="T29" s="1128"/>
      <c r="U29" s="1128"/>
      <c r="V29" s="1128"/>
      <c r="W29" s="1124">
        <f t="shared" si="2"/>
        <v>0</v>
      </c>
      <c r="X29" s="1129">
        <f t="shared" si="3"/>
        <v>0</v>
      </c>
      <c r="Y29" s="775"/>
      <c r="Z29" s="1124">
        <f>PurchaseSaleWorksheet!C29</f>
        <v>0</v>
      </c>
      <c r="AA29" s="1128"/>
      <c r="AB29" s="1128"/>
      <c r="AC29" s="1128"/>
      <c r="AD29" s="1128"/>
      <c r="AE29" s="1130">
        <f t="shared" si="4"/>
        <v>0</v>
      </c>
      <c r="AF29" s="779"/>
      <c r="AG29" s="794" t="str">
        <f t="shared" si="5"/>
        <v xml:space="preserve"> </v>
      </c>
      <c r="AH29" s="794" t="str">
        <f t="shared" si="6"/>
        <v xml:space="preserve"> </v>
      </c>
      <c r="AI29" s="784" t="str">
        <f t="shared" si="7"/>
        <v xml:space="preserve"> </v>
      </c>
      <c r="AJ29" s="784" t="str">
        <f t="shared" si="1"/>
        <v xml:space="preserve"> </v>
      </c>
      <c r="AK29" s="791"/>
    </row>
    <row r="30" spans="1:37" ht="15.75">
      <c r="A30" s="396">
        <v>26</v>
      </c>
      <c r="B30" s="1122">
        <f>'P1 Chemicals'!B33</f>
        <v>0</v>
      </c>
      <c r="C30" s="1122">
        <f>PurchaseSaleWorksheet!B30</f>
        <v>0</v>
      </c>
      <c r="D30" s="1123">
        <f t="shared" si="0"/>
        <v>0</v>
      </c>
      <c r="E30" s="776"/>
      <c r="F30" s="1124">
        <f>'P4 Filters'!B30</f>
        <v>0</v>
      </c>
      <c r="G30" s="1124">
        <f>'P11 Clarifiers'!B30</f>
        <v>0</v>
      </c>
      <c r="H30" s="1128"/>
      <c r="I30" s="1128"/>
      <c r="J30" s="775"/>
      <c r="K30" s="1128"/>
      <c r="L30" s="1128"/>
      <c r="M30" s="1128"/>
      <c r="N30" s="1128"/>
      <c r="O30" s="775"/>
      <c r="P30" s="1128"/>
      <c r="Q30" s="1128"/>
      <c r="R30" s="1128"/>
      <c r="S30" s="775"/>
      <c r="T30" s="1128"/>
      <c r="U30" s="1128"/>
      <c r="V30" s="1128"/>
      <c r="W30" s="1124">
        <f t="shared" si="2"/>
        <v>0</v>
      </c>
      <c r="X30" s="1129">
        <f t="shared" si="3"/>
        <v>0</v>
      </c>
      <c r="Y30" s="775"/>
      <c r="Z30" s="1124">
        <f>PurchaseSaleWorksheet!C30</f>
        <v>0</v>
      </c>
      <c r="AA30" s="1128"/>
      <c r="AB30" s="1128"/>
      <c r="AC30" s="1128"/>
      <c r="AD30" s="1128"/>
      <c r="AE30" s="1130">
        <f t="shared" si="4"/>
        <v>0</v>
      </c>
      <c r="AF30" s="779"/>
      <c r="AG30" s="794" t="str">
        <f t="shared" si="5"/>
        <v xml:space="preserve"> </v>
      </c>
      <c r="AH30" s="794" t="str">
        <f t="shared" si="6"/>
        <v xml:space="preserve"> </v>
      </c>
      <c r="AI30" s="784" t="str">
        <f t="shared" si="7"/>
        <v xml:space="preserve"> </v>
      </c>
      <c r="AJ30" s="784" t="str">
        <f t="shared" si="1"/>
        <v xml:space="preserve"> </v>
      </c>
      <c r="AK30" s="791"/>
    </row>
    <row r="31" spans="1:37" ht="15.75">
      <c r="A31" s="396">
        <v>27</v>
      </c>
      <c r="B31" s="1122">
        <f>'P1 Chemicals'!B34</f>
        <v>0</v>
      </c>
      <c r="C31" s="1122">
        <f>PurchaseSaleWorksheet!B31</f>
        <v>0</v>
      </c>
      <c r="D31" s="1123">
        <f t="shared" si="0"/>
        <v>0</v>
      </c>
      <c r="E31" s="776"/>
      <c r="F31" s="1124">
        <f>'P4 Filters'!B31</f>
        <v>0</v>
      </c>
      <c r="G31" s="1124">
        <f>'P11 Clarifiers'!B31</f>
        <v>0</v>
      </c>
      <c r="H31" s="1128"/>
      <c r="I31" s="1128"/>
      <c r="J31" s="775"/>
      <c r="K31" s="1128"/>
      <c r="L31" s="1128"/>
      <c r="M31" s="1128"/>
      <c r="N31" s="1128"/>
      <c r="O31" s="775"/>
      <c r="P31" s="1128"/>
      <c r="Q31" s="1128"/>
      <c r="R31" s="1128"/>
      <c r="S31" s="775"/>
      <c r="T31" s="1128"/>
      <c r="U31" s="1128"/>
      <c r="V31" s="1128"/>
      <c r="W31" s="1124">
        <f t="shared" si="2"/>
        <v>0</v>
      </c>
      <c r="X31" s="1129">
        <f t="shared" si="3"/>
        <v>0</v>
      </c>
      <c r="Y31" s="775"/>
      <c r="Z31" s="1124">
        <f>PurchaseSaleWorksheet!C31</f>
        <v>0</v>
      </c>
      <c r="AA31" s="1128"/>
      <c r="AB31" s="1128"/>
      <c r="AC31" s="1128"/>
      <c r="AD31" s="1128"/>
      <c r="AE31" s="1130">
        <f t="shared" si="4"/>
        <v>0</v>
      </c>
      <c r="AF31" s="779"/>
      <c r="AG31" s="794" t="str">
        <f t="shared" si="5"/>
        <v xml:space="preserve"> </v>
      </c>
      <c r="AH31" s="794" t="str">
        <f t="shared" si="6"/>
        <v xml:space="preserve"> </v>
      </c>
      <c r="AI31" s="784" t="str">
        <f t="shared" si="7"/>
        <v xml:space="preserve"> </v>
      </c>
      <c r="AJ31" s="784" t="str">
        <f t="shared" si="1"/>
        <v xml:space="preserve"> </v>
      </c>
      <c r="AK31" s="791"/>
    </row>
    <row r="32" spans="1:37" ht="15.75">
      <c r="A32" s="396">
        <v>28</v>
      </c>
      <c r="B32" s="1122">
        <f>'P1 Chemicals'!B35</f>
        <v>0</v>
      </c>
      <c r="C32" s="1122">
        <f>PurchaseSaleWorksheet!B32</f>
        <v>0</v>
      </c>
      <c r="D32" s="1123">
        <f t="shared" si="0"/>
        <v>0</v>
      </c>
      <c r="E32" s="776"/>
      <c r="F32" s="1124">
        <f>'P4 Filters'!B32</f>
        <v>0</v>
      </c>
      <c r="G32" s="1124">
        <f>'P11 Clarifiers'!B32</f>
        <v>0</v>
      </c>
      <c r="H32" s="1128"/>
      <c r="I32" s="1128"/>
      <c r="J32" s="775"/>
      <c r="K32" s="1128"/>
      <c r="L32" s="1128"/>
      <c r="M32" s="1128"/>
      <c r="N32" s="1128"/>
      <c r="O32" s="775"/>
      <c r="P32" s="1128"/>
      <c r="Q32" s="1128"/>
      <c r="R32" s="1128"/>
      <c r="S32" s="775"/>
      <c r="T32" s="1128"/>
      <c r="U32" s="1128"/>
      <c r="V32" s="1128"/>
      <c r="W32" s="1124">
        <f t="shared" si="2"/>
        <v>0</v>
      </c>
      <c r="X32" s="1129">
        <f t="shared" si="3"/>
        <v>0</v>
      </c>
      <c r="Y32" s="775"/>
      <c r="Z32" s="1124">
        <f>PurchaseSaleWorksheet!C32</f>
        <v>0</v>
      </c>
      <c r="AA32" s="1128"/>
      <c r="AB32" s="1128"/>
      <c r="AC32" s="1128"/>
      <c r="AD32" s="1128"/>
      <c r="AE32" s="1130">
        <f t="shared" si="4"/>
        <v>0</v>
      </c>
      <c r="AF32" s="779"/>
      <c r="AG32" s="794" t="str">
        <f t="shared" si="5"/>
        <v xml:space="preserve"> </v>
      </c>
      <c r="AH32" s="794" t="str">
        <f t="shared" si="6"/>
        <v xml:space="preserve"> </v>
      </c>
      <c r="AI32" s="784" t="str">
        <f t="shared" si="7"/>
        <v xml:space="preserve"> </v>
      </c>
      <c r="AJ32" s="784" t="str">
        <f t="shared" si="1"/>
        <v xml:space="preserve"> </v>
      </c>
      <c r="AK32" s="791"/>
    </row>
    <row r="33" spans="1:37" ht="15.75">
      <c r="A33" s="396">
        <v>29</v>
      </c>
      <c r="B33" s="1122">
        <f>'P1 Chemicals'!B36</f>
        <v>0</v>
      </c>
      <c r="C33" s="1122">
        <f>PurchaseSaleWorksheet!B33</f>
        <v>0</v>
      </c>
      <c r="D33" s="1123">
        <f t="shared" si="0"/>
        <v>0</v>
      </c>
      <c r="E33" s="776"/>
      <c r="F33" s="1124">
        <f>'P4 Filters'!B33</f>
        <v>0</v>
      </c>
      <c r="G33" s="1124">
        <f>'P11 Clarifiers'!B33</f>
        <v>0</v>
      </c>
      <c r="H33" s="1128"/>
      <c r="I33" s="1128"/>
      <c r="J33" s="775"/>
      <c r="K33" s="1128"/>
      <c r="L33" s="1128"/>
      <c r="M33" s="1128"/>
      <c r="N33" s="1128"/>
      <c r="O33" s="775"/>
      <c r="P33" s="1128"/>
      <c r="Q33" s="1128"/>
      <c r="R33" s="1128"/>
      <c r="S33" s="775"/>
      <c r="T33" s="1128"/>
      <c r="U33" s="1128"/>
      <c r="V33" s="1128"/>
      <c r="W33" s="1124">
        <f t="shared" si="2"/>
        <v>0</v>
      </c>
      <c r="X33" s="1129">
        <f>IFERROR(SUM(F33:W33),"")</f>
        <v>0</v>
      </c>
      <c r="Y33" s="775"/>
      <c r="Z33" s="1124">
        <f>PurchaseSaleWorksheet!C33</f>
        <v>0</v>
      </c>
      <c r="AA33" s="1128"/>
      <c r="AB33" s="1128"/>
      <c r="AC33" s="1128"/>
      <c r="AD33" s="1128"/>
      <c r="AE33" s="1130">
        <f t="shared" si="4"/>
        <v>0</v>
      </c>
      <c r="AF33" s="779"/>
      <c r="AG33" s="794" t="str">
        <f t="shared" si="5"/>
        <v xml:space="preserve"> </v>
      </c>
      <c r="AH33" s="794" t="str">
        <f t="shared" si="6"/>
        <v xml:space="preserve"> </v>
      </c>
      <c r="AI33" s="784" t="str">
        <f t="shared" si="7"/>
        <v xml:space="preserve"> </v>
      </c>
      <c r="AJ33" s="784" t="str">
        <f t="shared" si="1"/>
        <v xml:space="preserve"> </v>
      </c>
      <c r="AK33" s="791"/>
    </row>
    <row r="34" spans="1:37" ht="15.75">
      <c r="A34" s="396">
        <v>30</v>
      </c>
      <c r="B34" s="1122">
        <f>'P1 Chemicals'!B37</f>
        <v>0</v>
      </c>
      <c r="C34" s="1122">
        <f>PurchaseSaleWorksheet!B34</f>
        <v>0</v>
      </c>
      <c r="D34" s="1123">
        <f t="shared" si="0"/>
        <v>0</v>
      </c>
      <c r="E34" s="776"/>
      <c r="F34" s="1124">
        <f>'P4 Filters'!B34</f>
        <v>0</v>
      </c>
      <c r="G34" s="1124">
        <f>'P11 Clarifiers'!B34</f>
        <v>0</v>
      </c>
      <c r="H34" s="1128"/>
      <c r="I34" s="1128"/>
      <c r="J34" s="775"/>
      <c r="K34" s="1128"/>
      <c r="L34" s="1128"/>
      <c r="M34" s="1128"/>
      <c r="N34" s="1128"/>
      <c r="O34" s="775"/>
      <c r="P34" s="1128"/>
      <c r="Q34" s="1128"/>
      <c r="R34" s="1128"/>
      <c r="S34" s="775"/>
      <c r="T34" s="1128"/>
      <c r="U34" s="1128"/>
      <c r="V34" s="1128"/>
      <c r="W34" s="1124">
        <f t="shared" si="2"/>
        <v>0</v>
      </c>
      <c r="X34" s="1129">
        <f t="shared" ref="X34:X35" si="8">IFERROR(SUM(F34:W34),"")</f>
        <v>0</v>
      </c>
      <c r="Y34" s="775"/>
      <c r="Z34" s="1124">
        <f>PurchaseSaleWorksheet!C34</f>
        <v>0</v>
      </c>
      <c r="AA34" s="1128"/>
      <c r="AB34" s="1128"/>
      <c r="AC34" s="1128"/>
      <c r="AD34" s="1128"/>
      <c r="AE34" s="1130">
        <f t="shared" si="4"/>
        <v>0</v>
      </c>
      <c r="AF34" s="779"/>
      <c r="AG34" s="794" t="str">
        <f t="shared" si="5"/>
        <v xml:space="preserve"> </v>
      </c>
      <c r="AH34" s="794" t="str">
        <f t="shared" si="6"/>
        <v xml:space="preserve"> </v>
      </c>
      <c r="AI34" s="784" t="str">
        <f t="shared" si="7"/>
        <v xml:space="preserve"> </v>
      </c>
      <c r="AJ34" s="784" t="str">
        <f t="shared" si="1"/>
        <v xml:space="preserve"> </v>
      </c>
      <c r="AK34" s="791"/>
    </row>
    <row r="35" spans="1:37" ht="16.5" thickBot="1">
      <c r="A35" s="241">
        <v>31</v>
      </c>
      <c r="B35" s="1131">
        <f>'P1 Chemicals'!B38</f>
        <v>0</v>
      </c>
      <c r="C35" s="1131">
        <f>PurchaseSaleWorksheet!B35</f>
        <v>0</v>
      </c>
      <c r="D35" s="1132">
        <f t="shared" si="0"/>
        <v>0</v>
      </c>
      <c r="E35" s="776"/>
      <c r="F35" s="1133">
        <f>'P4 Filters'!B35</f>
        <v>0</v>
      </c>
      <c r="G35" s="1133">
        <f>'P11 Clarifiers'!B35</f>
        <v>0</v>
      </c>
      <c r="H35" s="1134"/>
      <c r="I35" s="1134"/>
      <c r="J35" s="775"/>
      <c r="K35" s="1134"/>
      <c r="L35" s="1134"/>
      <c r="M35" s="1134"/>
      <c r="N35" s="1134"/>
      <c r="O35" s="775"/>
      <c r="P35" s="1134"/>
      <c r="Q35" s="1134"/>
      <c r="R35" s="1134"/>
      <c r="S35" s="775"/>
      <c r="T35" s="1134"/>
      <c r="U35" s="1134"/>
      <c r="V35" s="1134"/>
      <c r="W35" s="1133">
        <f t="shared" si="2"/>
        <v>0</v>
      </c>
      <c r="X35" s="1129">
        <f t="shared" si="8"/>
        <v>0</v>
      </c>
      <c r="Y35" s="775"/>
      <c r="Z35" s="1133">
        <f>PurchaseSaleWorksheet!C35</f>
        <v>0</v>
      </c>
      <c r="AA35" s="1134"/>
      <c r="AB35" s="1134"/>
      <c r="AC35" s="1134"/>
      <c r="AD35" s="1134"/>
      <c r="AE35" s="1135">
        <f t="shared" si="4"/>
        <v>0</v>
      </c>
      <c r="AF35" s="779"/>
      <c r="AG35" s="795" t="str">
        <f t="shared" si="5"/>
        <v xml:space="preserve"> </v>
      </c>
      <c r="AH35" s="796" t="str">
        <f t="shared" si="6"/>
        <v xml:space="preserve"> </v>
      </c>
      <c r="AI35" s="786" t="str">
        <f t="shared" si="7"/>
        <v xml:space="preserve"> </v>
      </c>
      <c r="AJ35" s="786" t="str">
        <f t="shared" si="1"/>
        <v xml:space="preserve"> </v>
      </c>
      <c r="AK35" s="791"/>
    </row>
    <row r="36" spans="1:37" s="649" customFormat="1" ht="16.5" customHeight="1">
      <c r="A36" s="785" t="s">
        <v>699</v>
      </c>
      <c r="B36" s="1136" t="str">
        <f>IF(SUM(B5:B35)&gt;0,SUM(B5:B35)," ")</f>
        <v xml:space="preserve"> </v>
      </c>
      <c r="C36" s="1136" t="str">
        <f t="shared" ref="C36:AE36" si="9">IF(SUM(C5:C35)&gt;0,SUM(C5:C35)," ")</f>
        <v xml:space="preserve"> </v>
      </c>
      <c r="D36" s="1136" t="str">
        <f t="shared" si="9"/>
        <v xml:space="preserve"> </v>
      </c>
      <c r="E36" s="1137"/>
      <c r="F36" s="1136" t="str">
        <f t="shared" si="9"/>
        <v xml:space="preserve"> </v>
      </c>
      <c r="G36" s="1136" t="str">
        <f t="shared" si="9"/>
        <v xml:space="preserve"> </v>
      </c>
      <c r="H36" s="1136" t="str">
        <f t="shared" si="9"/>
        <v xml:space="preserve"> </v>
      </c>
      <c r="I36" s="1136" t="str">
        <f t="shared" si="9"/>
        <v xml:space="preserve"> </v>
      </c>
      <c r="J36" s="1137"/>
      <c r="K36" s="1136" t="str">
        <f t="shared" si="9"/>
        <v xml:space="preserve"> </v>
      </c>
      <c r="L36" s="1136" t="str">
        <f t="shared" si="9"/>
        <v xml:space="preserve"> </v>
      </c>
      <c r="M36" s="1136" t="str">
        <f t="shared" si="9"/>
        <v xml:space="preserve"> </v>
      </c>
      <c r="N36" s="1136" t="str">
        <f t="shared" si="9"/>
        <v xml:space="preserve"> </v>
      </c>
      <c r="O36" s="1137"/>
      <c r="P36" s="1136" t="str">
        <f t="shared" si="9"/>
        <v xml:space="preserve"> </v>
      </c>
      <c r="Q36" s="1136" t="str">
        <f t="shared" si="9"/>
        <v xml:space="preserve"> </v>
      </c>
      <c r="R36" s="1136" t="str">
        <f t="shared" si="9"/>
        <v xml:space="preserve"> </v>
      </c>
      <c r="S36" s="1137"/>
      <c r="T36" s="1136" t="str">
        <f t="shared" si="9"/>
        <v xml:space="preserve"> </v>
      </c>
      <c r="U36" s="1136" t="str">
        <f t="shared" si="9"/>
        <v xml:space="preserve"> </v>
      </c>
      <c r="V36" s="1136" t="str">
        <f t="shared" si="9"/>
        <v xml:space="preserve"> </v>
      </c>
      <c r="W36" s="1136" t="str">
        <f t="shared" si="9"/>
        <v xml:space="preserve"> </v>
      </c>
      <c r="X36" s="1136" t="str">
        <f>IFERROR(IF(SUM(X5:X35)&gt;0,SUM(X5:X35)," "),"")</f>
        <v xml:space="preserve"> </v>
      </c>
      <c r="Y36" s="1137"/>
      <c r="Z36" s="1136" t="str">
        <f t="shared" si="9"/>
        <v xml:space="preserve"> </v>
      </c>
      <c r="AA36" s="1136" t="str">
        <f t="shared" si="9"/>
        <v xml:space="preserve"> </v>
      </c>
      <c r="AB36" s="1136" t="str">
        <f t="shared" si="9"/>
        <v xml:space="preserve"> </v>
      </c>
      <c r="AC36" s="1136" t="str">
        <f t="shared" si="9"/>
        <v xml:space="preserve"> </v>
      </c>
      <c r="AD36" s="1136" t="str">
        <f t="shared" si="9"/>
        <v xml:space="preserve"> </v>
      </c>
      <c r="AE36" s="1138" t="str">
        <f t="shared" si="9"/>
        <v xml:space="preserve"> </v>
      </c>
      <c r="AF36" s="787"/>
      <c r="AG36" s="1505" t="str">
        <f>IFERROR(AVERAGE(AG5:AG35)," ")</f>
        <v xml:space="preserve"> </v>
      </c>
      <c r="AH36" s="1505" t="str">
        <f t="shared" ref="AH36:AJ36" si="10">IFERROR(AVERAGE(AH5:AH35)," ")</f>
        <v xml:space="preserve"> </v>
      </c>
      <c r="AI36" s="1508" t="str">
        <f t="shared" si="10"/>
        <v xml:space="preserve"> </v>
      </c>
      <c r="AJ36" s="1508" t="str">
        <f t="shared" si="10"/>
        <v xml:space="preserve"> </v>
      </c>
      <c r="AK36" s="1013"/>
    </row>
    <row r="37" spans="1:37" ht="16.5" customHeight="1">
      <c r="A37" s="791"/>
      <c r="B37" s="791"/>
      <c r="C37" s="1012" t="str">
        <f>MMYYYY</f>
        <v>05/2025</v>
      </c>
      <c r="D37" s="1014">
        <f>PWSID</f>
        <v>0</v>
      </c>
      <c r="E37" s="791"/>
      <c r="F37" s="791"/>
      <c r="G37" s="791"/>
      <c r="H37" s="791"/>
      <c r="I37" s="791"/>
      <c r="J37" s="791"/>
      <c r="K37" s="791"/>
      <c r="L37" s="791"/>
      <c r="M37" s="1012" t="str">
        <f>MMYYYY</f>
        <v>05/2025</v>
      </c>
      <c r="N37" s="1014">
        <f>PWSID</f>
        <v>0</v>
      </c>
      <c r="O37" s="791"/>
      <c r="P37" s="791"/>
      <c r="Q37" s="791"/>
      <c r="R37" s="791"/>
      <c r="S37" s="791"/>
      <c r="T37" s="791"/>
      <c r="U37" s="791"/>
      <c r="V37" s="791"/>
      <c r="W37" s="1012" t="str">
        <f>MMYYYY</f>
        <v>05/2025</v>
      </c>
      <c r="X37" s="1014">
        <f>PWSID</f>
        <v>0</v>
      </c>
      <c r="Y37" s="791"/>
      <c r="Z37" s="791"/>
      <c r="AA37" s="791"/>
      <c r="AB37" s="791"/>
      <c r="AC37" s="1012" t="str">
        <f>MMYYYY</f>
        <v>05/2025</v>
      </c>
      <c r="AD37" s="1014">
        <f>PWSID</f>
        <v>0</v>
      </c>
      <c r="AE37" s="1503" t="s">
        <v>704</v>
      </c>
      <c r="AF37" s="1504"/>
      <c r="AG37" s="1506"/>
      <c r="AH37" s="1507"/>
      <c r="AI37" s="1509"/>
      <c r="AJ37" s="1509"/>
      <c r="AK37" s="791"/>
    </row>
    <row r="38" spans="1:37">
      <c r="A38" s="791"/>
      <c r="B38" s="791"/>
      <c r="C38" s="791"/>
      <c r="D38" s="791"/>
      <c r="E38" s="791"/>
      <c r="F38" s="791"/>
      <c r="G38" s="791"/>
      <c r="H38" s="791"/>
      <c r="I38" s="791"/>
      <c r="J38" s="791"/>
      <c r="K38" s="791"/>
      <c r="L38" s="791"/>
      <c r="M38" s="791"/>
      <c r="N38" s="791"/>
      <c r="O38" s="791"/>
      <c r="P38" s="791"/>
      <c r="Q38" s="791"/>
      <c r="R38" s="791"/>
      <c r="S38" s="791"/>
      <c r="T38" s="791"/>
      <c r="U38" s="791"/>
      <c r="V38" s="791"/>
      <c r="W38" s="791"/>
      <c r="X38" s="791"/>
      <c r="Y38" s="791"/>
      <c r="Z38" s="791"/>
      <c r="AA38" s="791"/>
      <c r="AB38" s="791"/>
      <c r="AC38" s="791"/>
      <c r="AD38" s="791"/>
      <c r="AE38" s="791"/>
      <c r="AF38" s="791"/>
      <c r="AG38" s="791"/>
      <c r="AH38" s="791"/>
      <c r="AI38" s="791"/>
      <c r="AJ38" s="791"/>
      <c r="AK38" s="791"/>
    </row>
  </sheetData>
  <sheetProtection algorithmName="SHA-512" hashValue="eM4fvCYvZjc0iIjJc4KkSUjaaPgtc1J311aOsSVcVya+O+r6sKH8auf9FbOW/DsYGDP0ShgnPbeiiP2JtuSigQ==" saltValue="H7Qm/tigWuTHZmKNCCZ2ew==" spinCount="100000" sheet="1" objects="1" scenarios="1" selectLockedCells="1"/>
  <mergeCells count="15">
    <mergeCell ref="Z2:AD3"/>
    <mergeCell ref="AE2:AE4"/>
    <mergeCell ref="AG2:AJ3"/>
    <mergeCell ref="B1:AH1"/>
    <mergeCell ref="AE37:AF37"/>
    <mergeCell ref="AG36:AG37"/>
    <mergeCell ref="AH36:AH37"/>
    <mergeCell ref="AI36:AI37"/>
    <mergeCell ref="AJ36:AJ37"/>
    <mergeCell ref="A2:A4"/>
    <mergeCell ref="F2:V2"/>
    <mergeCell ref="F3:N3"/>
    <mergeCell ref="P3:W3"/>
    <mergeCell ref="X3:X4"/>
    <mergeCell ref="B2:D3"/>
  </mergeCells>
  <hyperlinks>
    <hyperlink ref="A1" location="Bookmarks!A1" display="Return to Bookmarks" xr:uid="{A0B6410E-6C36-4367-AD93-1F4F1EB74B0D}"/>
  </hyperlinks>
  <pageMargins left="0.7" right="0.7" top="0.75" bottom="0.75" header="0.3" footer="0.3"/>
  <pageSetup scale="84" orientation="portrait" r:id="rId1"/>
  <colBreaks count="4" manualBreakCount="4">
    <brk id="5" max="1048575" man="1"/>
    <brk id="15" max="1048575" man="1"/>
    <brk id="25" max="1048575" man="1"/>
    <brk id="3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92D050"/>
  </sheetPr>
  <dimension ref="A1:N69"/>
  <sheetViews>
    <sheetView showGridLines="0" zoomScale="120" zoomScaleNormal="120" workbookViewId="0">
      <selection activeCell="K10" sqref="K10"/>
    </sheetView>
  </sheetViews>
  <sheetFormatPr defaultColWidth="9" defaultRowHeight="12.75"/>
  <cols>
    <col min="1" max="1" width="0.5703125" style="25" customWidth="1"/>
    <col min="2" max="2" width="1.28515625" style="25" customWidth="1"/>
    <col min="3" max="3" width="41.42578125" style="25" customWidth="1"/>
    <col min="4" max="4" width="11.28515625" style="25" customWidth="1"/>
    <col min="5" max="5" width="2.42578125" style="25" customWidth="1"/>
    <col min="6" max="6" width="1.42578125" style="25" customWidth="1"/>
    <col min="7" max="7" width="0.7109375" style="25" customWidth="1"/>
    <col min="8" max="8" width="1" style="25" customWidth="1"/>
    <col min="9" max="9" width="38" style="25" customWidth="1"/>
    <col min="10" max="10" width="13" style="25" customWidth="1"/>
    <col min="11" max="11" width="2.42578125" style="25" customWidth="1"/>
    <col min="12" max="12" width="0.7109375" style="25" customWidth="1"/>
    <col min="13" max="13" width="1.42578125" style="25" customWidth="1"/>
  </cols>
  <sheetData>
    <row r="1" spans="1:14" ht="27.75" customHeight="1">
      <c r="A1" s="1022"/>
      <c r="B1" s="1096"/>
      <c r="C1" s="1095" t="s">
        <v>730</v>
      </c>
      <c r="D1" s="1091" t="s">
        <v>424</v>
      </c>
      <c r="E1" s="1091"/>
      <c r="F1" s="1091"/>
      <c r="G1" s="1091"/>
      <c r="H1" s="1091"/>
      <c r="I1" s="1091"/>
      <c r="J1" s="1091"/>
      <c r="K1" s="1091"/>
      <c r="L1" s="1092"/>
      <c r="M1" s="1025" t="s">
        <v>125</v>
      </c>
    </row>
    <row r="2" spans="1:14" ht="15" customHeight="1">
      <c r="A2" s="1017"/>
      <c r="B2" s="1510" t="s">
        <v>425</v>
      </c>
      <c r="C2" s="1489"/>
      <c r="D2" s="1511"/>
      <c r="E2" s="1511"/>
      <c r="F2" s="1511"/>
      <c r="G2" s="1511"/>
      <c r="H2" s="1511"/>
      <c r="I2" s="1511"/>
      <c r="J2" s="1511"/>
      <c r="K2" s="1511"/>
      <c r="L2" s="1512"/>
      <c r="M2" s="1025" t="s">
        <v>123</v>
      </c>
      <c r="N2" s="258"/>
    </row>
    <row r="3" spans="1:14" ht="24" customHeight="1" thickBot="1">
      <c r="A3" s="1023"/>
      <c r="B3" s="1031"/>
      <c r="C3" s="868" t="s">
        <v>427</v>
      </c>
      <c r="D3" s="1032" t="str">
        <f>'P1 Chemicals'!B40</f>
        <v xml:space="preserve"> </v>
      </c>
      <c r="E3" s="870"/>
      <c r="F3" s="1033"/>
      <c r="G3" s="1033"/>
      <c r="H3" s="1033"/>
      <c r="I3" s="1034" t="s">
        <v>428</v>
      </c>
      <c r="J3" s="1032">
        <f>TotTreated</f>
        <v>0</v>
      </c>
      <c r="K3" s="1033"/>
      <c r="L3" s="1035"/>
      <c r="M3" s="1022"/>
    </row>
    <row r="4" spans="1:14" ht="15.6" customHeight="1" thickBot="1">
      <c r="A4" s="969"/>
      <c r="B4" s="1031"/>
      <c r="C4" s="868"/>
      <c r="D4" s="1033"/>
      <c r="E4" s="870"/>
      <c r="F4" s="1033"/>
      <c r="G4" s="1033"/>
      <c r="H4" s="1033"/>
      <c r="I4" s="868" t="s">
        <v>429</v>
      </c>
      <c r="J4" s="1036" t="str">
        <f>MaxPump</f>
        <v xml:space="preserve"> </v>
      </c>
      <c r="K4" s="868"/>
      <c r="L4" s="1035"/>
      <c r="M4" s="1022"/>
    </row>
    <row r="5" spans="1:14" ht="4.1500000000000004" customHeight="1">
      <c r="A5" s="1017"/>
      <c r="B5" s="1037"/>
      <c r="C5" s="1038"/>
      <c r="D5" s="1038"/>
      <c r="E5" s="1038"/>
      <c r="F5" s="1038"/>
      <c r="G5" s="1038"/>
      <c r="H5" s="1038"/>
      <c r="I5" s="1038"/>
      <c r="J5" s="1038"/>
      <c r="K5" s="1038"/>
      <c r="L5" s="1039"/>
      <c r="M5" s="1017"/>
    </row>
    <row r="6" spans="1:14" ht="22.5" customHeight="1">
      <c r="A6" s="1017"/>
      <c r="B6" s="1513" t="s">
        <v>430</v>
      </c>
      <c r="C6" s="1514"/>
      <c r="D6" s="1514"/>
      <c r="E6" s="1514"/>
      <c r="F6" s="1514"/>
      <c r="G6" s="1514"/>
      <c r="H6" s="1514"/>
      <c r="I6" s="1514"/>
      <c r="J6" s="1514"/>
      <c r="K6" s="1514"/>
      <c r="L6" s="1515"/>
      <c r="M6" s="1017"/>
    </row>
    <row r="7" spans="1:14" ht="15" customHeight="1">
      <c r="A7" s="1017"/>
      <c r="B7" s="1516" t="s">
        <v>221</v>
      </c>
      <c r="C7" s="1511"/>
      <c r="D7" s="1511"/>
      <c r="E7" s="1511"/>
      <c r="F7" s="1511"/>
      <c r="G7" s="1511"/>
      <c r="H7" s="1511"/>
      <c r="I7" s="1511"/>
      <c r="J7" s="1511"/>
      <c r="K7" s="1511"/>
      <c r="L7" s="1512"/>
      <c r="M7" s="1017"/>
    </row>
    <row r="8" spans="1:14" ht="15" customHeight="1" thickBot="1">
      <c r="A8" s="1017"/>
      <c r="B8" s="693"/>
      <c r="C8" s="135" t="s">
        <v>431</v>
      </c>
      <c r="D8" s="257" t="s">
        <v>432</v>
      </c>
      <c r="E8" s="26"/>
      <c r="F8" s="26"/>
      <c r="G8" s="26"/>
      <c r="H8" s="26"/>
      <c r="I8" s="639"/>
      <c r="J8" s="639"/>
      <c r="K8" s="639"/>
      <c r="L8" s="694"/>
      <c r="M8" s="1017"/>
    </row>
    <row r="9" spans="1:14" ht="3" customHeight="1">
      <c r="A9" s="1017"/>
      <c r="B9" s="693"/>
      <c r="C9" s="135"/>
      <c r="D9" s="135"/>
      <c r="E9" s="26"/>
      <c r="F9" s="26"/>
      <c r="G9" s="26"/>
      <c r="H9" s="26"/>
      <c r="I9" s="639"/>
      <c r="J9" s="639"/>
      <c r="K9" s="639"/>
      <c r="L9" s="640"/>
      <c r="M9" s="1017"/>
    </row>
    <row r="10" spans="1:14" ht="13.5" customHeight="1">
      <c r="A10" s="1017"/>
      <c r="B10" s="693"/>
      <c r="C10" s="135" t="s">
        <v>433</v>
      </c>
      <c r="D10" s="639"/>
      <c r="E10" s="639"/>
      <c r="F10" s="639"/>
      <c r="G10" s="639"/>
      <c r="H10" s="639"/>
      <c r="I10" s="639"/>
      <c r="J10" s="640"/>
      <c r="K10" s="92"/>
      <c r="L10" s="640"/>
      <c r="M10" s="1017"/>
    </row>
    <row r="11" spans="1:14" ht="3" customHeight="1">
      <c r="A11" s="1017"/>
      <c r="B11" s="693"/>
      <c r="C11" s="135"/>
      <c r="D11" s="639"/>
      <c r="E11" s="639"/>
      <c r="F11" s="639"/>
      <c r="G11" s="639"/>
      <c r="H11" s="639"/>
      <c r="I11" s="639"/>
      <c r="J11" s="639"/>
      <c r="K11" s="26"/>
      <c r="L11" s="640"/>
      <c r="M11" s="1017"/>
    </row>
    <row r="12" spans="1:14" ht="13.5" customHeight="1">
      <c r="A12" s="1017"/>
      <c r="B12" s="693"/>
      <c r="C12" s="135" t="s">
        <v>434</v>
      </c>
      <c r="D12" s="639"/>
      <c r="E12" s="639"/>
      <c r="F12" s="639"/>
      <c r="G12" s="639"/>
      <c r="H12" s="639"/>
      <c r="I12" s="639"/>
      <c r="J12" s="639"/>
      <c r="K12" s="92"/>
      <c r="L12" s="640"/>
      <c r="M12" s="1017"/>
    </row>
    <row r="13" spans="1:14" ht="3" customHeight="1">
      <c r="A13" s="1017"/>
      <c r="B13" s="693"/>
      <c r="C13" s="135"/>
      <c r="D13" s="639"/>
      <c r="E13" s="639"/>
      <c r="F13" s="639"/>
      <c r="G13" s="639"/>
      <c r="H13" s="639"/>
      <c r="I13" s="639"/>
      <c r="J13" s="639"/>
      <c r="K13" s="639"/>
      <c r="L13" s="640"/>
      <c r="M13" s="1017"/>
    </row>
    <row r="14" spans="1:14" ht="13.5" customHeight="1">
      <c r="A14" s="1017"/>
      <c r="B14" s="693"/>
      <c r="C14" s="135" t="s">
        <v>435</v>
      </c>
      <c r="D14" s="639"/>
      <c r="E14" s="639"/>
      <c r="F14" s="639"/>
      <c r="G14" s="639"/>
      <c r="H14" s="639"/>
      <c r="I14" s="639"/>
      <c r="J14" s="639"/>
      <c r="K14" s="92"/>
      <c r="L14" s="640"/>
      <c r="M14" s="1017"/>
    </row>
    <row r="15" spans="1:14" ht="3" customHeight="1">
      <c r="A15" s="1017"/>
      <c r="B15" s="693"/>
      <c r="C15" s="135"/>
      <c r="D15" s="639"/>
      <c r="E15" s="639"/>
      <c r="F15" s="639"/>
      <c r="G15" s="639"/>
      <c r="H15" s="639"/>
      <c r="I15" s="639"/>
      <c r="J15" s="639"/>
      <c r="K15" s="639"/>
      <c r="L15" s="640"/>
      <c r="M15" s="1017"/>
    </row>
    <row r="16" spans="1:14" ht="13.5" customHeight="1">
      <c r="A16" s="1017"/>
      <c r="B16" s="693"/>
      <c r="C16" s="797" t="s">
        <v>714</v>
      </c>
      <c r="D16" s="639"/>
      <c r="E16" s="639"/>
      <c r="F16" s="639"/>
      <c r="G16" s="639"/>
      <c r="H16" s="639"/>
      <c r="I16" s="639"/>
      <c r="J16" s="639"/>
      <c r="K16" s="92"/>
      <c r="L16" s="640"/>
      <c r="M16" s="1017"/>
    </row>
    <row r="17" spans="1:13" ht="3" customHeight="1">
      <c r="A17" s="1017"/>
      <c r="B17" s="693"/>
      <c r="C17" s="798"/>
      <c r="D17" s="639"/>
      <c r="E17" s="639"/>
      <c r="F17" s="639"/>
      <c r="G17" s="639"/>
      <c r="H17" s="639"/>
      <c r="I17" s="639"/>
      <c r="J17" s="639"/>
      <c r="K17" s="639"/>
      <c r="L17" s="640"/>
      <c r="M17" s="1017"/>
    </row>
    <row r="18" spans="1:13" ht="13.5" customHeight="1">
      <c r="A18" s="1017"/>
      <c r="B18" s="693"/>
      <c r="C18" s="799" t="s">
        <v>715</v>
      </c>
      <c r="D18" s="639"/>
      <c r="E18" s="639"/>
      <c r="F18" s="639"/>
      <c r="G18" s="639"/>
      <c r="H18" s="639"/>
      <c r="I18" s="639"/>
      <c r="J18" s="639"/>
      <c r="K18" s="92"/>
      <c r="L18" s="640"/>
      <c r="M18" s="1017"/>
    </row>
    <row r="19" spans="1:13" ht="3" customHeight="1">
      <c r="A19" s="1017"/>
      <c r="B19" s="693"/>
      <c r="C19" s="639"/>
      <c r="D19" s="639"/>
      <c r="E19" s="639"/>
      <c r="F19" s="639"/>
      <c r="G19" s="639"/>
      <c r="H19" s="639"/>
      <c r="I19" s="639"/>
      <c r="J19" s="639"/>
      <c r="K19" s="639"/>
      <c r="L19" s="640"/>
      <c r="M19" s="1017"/>
    </row>
    <row r="20" spans="1:13" ht="13.5" customHeight="1">
      <c r="A20" s="1017"/>
      <c r="B20" s="693"/>
      <c r="C20" s="135" t="s">
        <v>436</v>
      </c>
      <c r="D20" s="639"/>
      <c r="E20" s="639"/>
      <c r="F20" s="639"/>
      <c r="G20" s="639"/>
      <c r="H20" s="639"/>
      <c r="I20" s="639"/>
      <c r="J20" s="639"/>
      <c r="K20" s="92"/>
      <c r="L20" s="640"/>
      <c r="M20" s="1017"/>
    </row>
    <row r="21" spans="1:13" ht="3" customHeight="1">
      <c r="A21" s="1017"/>
      <c r="B21" s="693"/>
      <c r="C21" s="135"/>
      <c r="D21" s="639"/>
      <c r="E21" s="639"/>
      <c r="F21" s="639"/>
      <c r="G21" s="639"/>
      <c r="H21" s="639"/>
      <c r="I21" s="639"/>
      <c r="J21" s="639"/>
      <c r="K21" s="639"/>
      <c r="L21" s="640"/>
      <c r="M21" s="1017"/>
    </row>
    <row r="22" spans="1:13" ht="13.5" customHeight="1">
      <c r="A22" s="1017"/>
      <c r="B22" s="693"/>
      <c r="C22" s="135" t="s">
        <v>437</v>
      </c>
      <c r="D22" s="639"/>
      <c r="E22" s="639"/>
      <c r="F22" s="639"/>
      <c r="G22" s="639"/>
      <c r="H22" s="639"/>
      <c r="I22" s="639"/>
      <c r="J22" s="639"/>
      <c r="K22" s="92"/>
      <c r="L22" s="640"/>
      <c r="M22" s="1017"/>
    </row>
    <row r="23" spans="1:13" ht="3" customHeight="1">
      <c r="A23" s="1017"/>
      <c r="B23" s="693"/>
      <c r="C23" s="135"/>
      <c r="D23" s="639"/>
      <c r="E23" s="639"/>
      <c r="F23" s="639"/>
      <c r="G23" s="639"/>
      <c r="H23" s="639"/>
      <c r="I23" s="639"/>
      <c r="J23" s="639"/>
      <c r="K23" s="639"/>
      <c r="L23" s="640"/>
      <c r="M23" s="1017"/>
    </row>
    <row r="24" spans="1:13" ht="13.5" customHeight="1">
      <c r="A24" s="1017"/>
      <c r="B24" s="693"/>
      <c r="C24" s="134" t="s">
        <v>438</v>
      </c>
      <c r="D24" s="639"/>
      <c r="E24" s="639"/>
      <c r="F24" s="639"/>
      <c r="G24" s="639"/>
      <c r="H24" s="639"/>
      <c r="I24" s="639"/>
      <c r="J24" s="639"/>
      <c r="K24" s="92"/>
      <c r="L24" s="640"/>
      <c r="M24" s="1017"/>
    </row>
    <row r="25" spans="1:13" ht="3" customHeight="1">
      <c r="A25" s="1017"/>
      <c r="B25" s="693"/>
      <c r="C25" s="134"/>
      <c r="D25" s="639"/>
      <c r="E25" s="639"/>
      <c r="F25" s="639"/>
      <c r="G25" s="639"/>
      <c r="H25" s="639"/>
      <c r="I25" s="639"/>
      <c r="J25" s="639"/>
      <c r="K25" s="639"/>
      <c r="L25" s="640"/>
      <c r="M25" s="1017"/>
    </row>
    <row r="26" spans="1:13" ht="13.5" customHeight="1">
      <c r="A26" s="1017"/>
      <c r="B26" s="693"/>
      <c r="C26" s="135" t="s">
        <v>627</v>
      </c>
      <c r="D26" s="639"/>
      <c r="E26" s="639"/>
      <c r="F26" s="639"/>
      <c r="G26" s="639"/>
      <c r="H26" s="639"/>
      <c r="I26" s="639"/>
      <c r="J26" s="639"/>
      <c r="K26" s="92"/>
      <c r="L26" s="640"/>
      <c r="M26" s="1017"/>
    </row>
    <row r="27" spans="1:13" ht="18.600000000000001" customHeight="1">
      <c r="A27" s="1017"/>
      <c r="B27" s="693"/>
      <c r="C27" s="32" t="s">
        <v>439</v>
      </c>
      <c r="D27" s="32"/>
      <c r="E27" s="32"/>
      <c r="F27" s="32"/>
      <c r="G27" s="32"/>
      <c r="H27" s="32"/>
      <c r="I27" s="32"/>
      <c r="J27" s="639"/>
      <c r="K27" s="639"/>
      <c r="L27" s="640"/>
      <c r="M27" s="1017"/>
    </row>
    <row r="28" spans="1:13" ht="3.75" customHeight="1">
      <c r="A28" s="1017"/>
      <c r="B28" s="1015"/>
      <c r="C28" s="1016"/>
      <c r="D28" s="1016"/>
      <c r="E28" s="1017"/>
      <c r="F28" s="1017"/>
      <c r="G28" s="1017"/>
      <c r="H28" s="1017"/>
      <c r="I28" s="1017"/>
      <c r="J28" s="1016"/>
      <c r="K28" s="1016"/>
      <c r="L28" s="1018"/>
      <c r="M28" s="1017"/>
    </row>
    <row r="29" spans="1:13" ht="15" customHeight="1">
      <c r="A29" s="1017"/>
      <c r="B29" s="1513" t="s">
        <v>440</v>
      </c>
      <c r="C29" s="1514"/>
      <c r="D29" s="1514"/>
      <c r="E29" s="1514"/>
      <c r="F29" s="695"/>
      <c r="G29" s="1019"/>
      <c r="H29" s="696"/>
      <c r="I29" s="697" t="s">
        <v>441</v>
      </c>
      <c r="J29" s="697"/>
      <c r="K29" s="697"/>
      <c r="L29" s="698"/>
      <c r="M29" s="1017"/>
    </row>
    <row r="30" spans="1:13" ht="15" customHeight="1">
      <c r="A30" s="1017"/>
      <c r="B30" s="1516" t="s">
        <v>426</v>
      </c>
      <c r="C30" s="1511"/>
      <c r="D30" s="1511"/>
      <c r="E30" s="1511"/>
      <c r="F30" s="1512"/>
      <c r="G30" s="1019"/>
      <c r="H30" s="1516" t="s">
        <v>442</v>
      </c>
      <c r="I30" s="1511"/>
      <c r="J30" s="1511"/>
      <c r="K30" s="1511"/>
      <c r="L30" s="1512"/>
      <c r="M30" s="1017"/>
    </row>
    <row r="31" spans="1:13" ht="15" customHeight="1" thickBot="1">
      <c r="A31" s="1017"/>
      <c r="B31" s="27"/>
      <c r="C31" s="699" t="s">
        <v>443</v>
      </c>
      <c r="D31" s="138" t="s">
        <v>432</v>
      </c>
      <c r="E31" s="218"/>
      <c r="F31" s="28"/>
      <c r="G31" s="1020"/>
      <c r="H31" s="28"/>
      <c r="I31" s="699" t="s">
        <v>443</v>
      </c>
      <c r="J31" s="138" t="s">
        <v>444</v>
      </c>
      <c r="K31" s="218"/>
      <c r="L31" s="221"/>
      <c r="M31" s="1017"/>
    </row>
    <row r="32" spans="1:13" ht="19.149999999999999" customHeight="1" thickBot="1">
      <c r="A32" s="1017"/>
      <c r="B32" s="693"/>
      <c r="C32" s="135" t="s">
        <v>445</v>
      </c>
      <c r="D32" s="274">
        <f>TotalHours</f>
        <v>0</v>
      </c>
      <c r="E32" s="219"/>
      <c r="F32" s="639"/>
      <c r="G32" s="1019"/>
      <c r="H32" s="135"/>
      <c r="I32" s="135" t="s">
        <v>446</v>
      </c>
      <c r="J32" s="266">
        <f>OperDays</f>
        <v>0</v>
      </c>
      <c r="K32" s="139"/>
      <c r="L32" s="640"/>
      <c r="M32" s="1017"/>
    </row>
    <row r="33" spans="1:13" ht="3" customHeight="1">
      <c r="A33" s="1017"/>
      <c r="B33" s="693"/>
      <c r="C33" s="135"/>
      <c r="D33" s="275"/>
      <c r="E33" s="33"/>
      <c r="F33" s="639"/>
      <c r="G33" s="1019"/>
      <c r="H33" s="135"/>
      <c r="I33" s="135"/>
      <c r="J33" s="33"/>
      <c r="K33" s="33"/>
      <c r="L33" s="640"/>
      <c r="M33" s="1017"/>
    </row>
    <row r="34" spans="1:13" ht="13.5" customHeight="1" thickBot="1">
      <c r="A34" s="1017"/>
      <c r="B34" s="693"/>
      <c r="C34" s="700" t="s">
        <v>447</v>
      </c>
      <c r="D34" s="276"/>
      <c r="E34" s="92"/>
      <c r="F34" s="639"/>
      <c r="G34" s="1019"/>
      <c r="H34" s="135"/>
      <c r="I34" s="135" t="s">
        <v>448</v>
      </c>
      <c r="J34" s="701" t="str">
        <f>IF(OR(('P2 Water Quality'!W40=J32),('P2 Water Quality'!X40=J32)),"Yes","No")</f>
        <v>Yes</v>
      </c>
      <c r="K34" s="345"/>
      <c r="L34" s="640"/>
      <c r="M34" s="1017"/>
    </row>
    <row r="35" spans="1:13" ht="15" customHeight="1" thickBot="1">
      <c r="A35" s="1017"/>
      <c r="B35" s="693"/>
      <c r="C35" s="135" t="s">
        <v>449</v>
      </c>
      <c r="D35" s="277">
        <f>'P3 Turbidity'!I35</f>
        <v>0</v>
      </c>
      <c r="E35"/>
      <c r="F35" s="639"/>
      <c r="G35" s="1019"/>
      <c r="H35" s="135"/>
      <c r="I35" s="135" t="s">
        <v>450</v>
      </c>
      <c r="J35" s="400">
        <f>IF('P2 Water Quality'!W40=0,'P2 Water Quality'!X40,'P2 Water Quality'!W40)</f>
        <v>0</v>
      </c>
      <c r="K35" s="139"/>
      <c r="L35" s="640"/>
      <c r="M35" s="1017"/>
    </row>
    <row r="36" spans="1:13" ht="15" customHeight="1" thickBot="1">
      <c r="A36" s="1017"/>
      <c r="B36" s="693"/>
      <c r="C36" s="135" t="s">
        <v>451</v>
      </c>
      <c r="D36" s="268">
        <f>'P3 Turbidity'!J35</f>
        <v>0</v>
      </c>
      <c r="E36" s="220"/>
      <c r="F36" s="639"/>
      <c r="G36" s="1019"/>
      <c r="H36" s="639"/>
      <c r="I36" s="135" t="s">
        <v>452</v>
      </c>
      <c r="J36" s="278">
        <f>'P2 Water Quality'!W38</f>
        <v>0</v>
      </c>
      <c r="K36" s="139"/>
      <c r="L36" s="640"/>
      <c r="M36" s="1017"/>
    </row>
    <row r="37" spans="1:13" ht="15" customHeight="1">
      <c r="A37" s="1017"/>
      <c r="B37" s="693"/>
      <c r="C37" s="29" t="s">
        <v>453</v>
      </c>
      <c r="D37" s="702"/>
      <c r="E37" s="642"/>
      <c r="F37" s="639"/>
      <c r="G37" s="1019"/>
      <c r="H37" s="639"/>
      <c r="I37" s="136" t="s">
        <v>454</v>
      </c>
      <c r="J37" s="639"/>
      <c r="K37" s="639"/>
      <c r="L37" s="640"/>
      <c r="M37" s="1017"/>
    </row>
    <row r="38" spans="1:13" ht="3" customHeight="1">
      <c r="A38" s="1017"/>
      <c r="B38" s="693"/>
      <c r="C38" s="135"/>
      <c r="D38" s="702"/>
      <c r="E38" s="642"/>
      <c r="F38" s="639"/>
      <c r="G38" s="1019"/>
      <c r="H38" s="639"/>
      <c r="I38" s="135"/>
      <c r="J38" s="639"/>
      <c r="K38" s="639"/>
      <c r="L38" s="640"/>
      <c r="M38" s="1017"/>
    </row>
    <row r="39" spans="1:13" ht="13.5" customHeight="1" thickBot="1">
      <c r="A39" s="1017"/>
      <c r="B39" s="693"/>
      <c r="C39" s="136" t="s">
        <v>455</v>
      </c>
      <c r="D39" s="267">
        <f>'P3 Turbidity'!E38</f>
        <v>0</v>
      </c>
      <c r="E39" s="139"/>
      <c r="F39" s="639"/>
      <c r="G39" s="1019"/>
      <c r="H39" s="639"/>
      <c r="I39" s="440" t="s">
        <v>456</v>
      </c>
      <c r="K39" s="92"/>
      <c r="L39" s="640"/>
      <c r="M39" s="1017"/>
    </row>
    <row r="40" spans="1:13" ht="15" customHeight="1" thickBot="1">
      <c r="A40" s="1017"/>
      <c r="B40" s="693"/>
      <c r="C40" s="136" t="s">
        <v>457</v>
      </c>
      <c r="D40" s="267">
        <f>'P3 Turbidity'!G38</f>
        <v>0</v>
      </c>
      <c r="E40" s="139"/>
      <c r="F40" s="639"/>
      <c r="G40" s="1019"/>
      <c r="H40" s="639"/>
      <c r="I40" s="29" t="s">
        <v>458</v>
      </c>
      <c r="J40" s="639"/>
      <c r="K40" s="639"/>
      <c r="L40" s="640"/>
      <c r="M40" s="1017"/>
    </row>
    <row r="41" spans="1:13" ht="15" customHeight="1" thickBot="1">
      <c r="A41" s="1017"/>
      <c r="B41" s="693"/>
      <c r="C41" s="136" t="s">
        <v>459</v>
      </c>
      <c r="D41" s="267">
        <f>'P3 Turbidity'!I38</f>
        <v>0</v>
      </c>
      <c r="E41" s="139"/>
      <c r="F41" s="639"/>
      <c r="G41" s="1019"/>
      <c r="H41" s="639"/>
      <c r="I41" s="136" t="s">
        <v>460</v>
      </c>
      <c r="J41" s="266">
        <f>'P2 Water Quality'!W41</f>
        <v>0</v>
      </c>
      <c r="K41" s="139"/>
      <c r="L41" s="640"/>
      <c r="M41" s="1017"/>
    </row>
    <row r="42" spans="1:13" ht="15" customHeight="1">
      <c r="A42" s="1017"/>
      <c r="B42" s="693"/>
      <c r="C42" s="512" t="s">
        <v>461</v>
      </c>
      <c r="D42" s="275"/>
      <c r="E42" s="92"/>
      <c r="F42" s="639"/>
      <c r="G42" s="1019"/>
      <c r="H42" s="639"/>
      <c r="I42" s="29" t="s">
        <v>462</v>
      </c>
      <c r="J42" s="642"/>
      <c r="K42" s="139"/>
      <c r="L42" s="640"/>
      <c r="M42" s="1017"/>
    </row>
    <row r="43" spans="1:13" ht="15" customHeight="1" thickBot="1">
      <c r="A43" s="1017"/>
      <c r="B43" s="693"/>
      <c r="C43" s="29" t="s">
        <v>463</v>
      </c>
      <c r="D43" s="702"/>
      <c r="E43" s="642"/>
      <c r="F43" s="639"/>
      <c r="G43" s="1019"/>
      <c r="H43" s="639"/>
      <c r="I43" s="136" t="s">
        <v>464</v>
      </c>
      <c r="J43" s="266">
        <f>'P2 Water Quality'!W42</f>
        <v>0</v>
      </c>
      <c r="K43" s="642"/>
      <c r="L43" s="640"/>
      <c r="M43" s="1026"/>
    </row>
    <row r="44" spans="1:13" ht="15" customHeight="1" thickBot="1">
      <c r="A44" s="1017"/>
      <c r="B44" s="693"/>
      <c r="C44" s="136" t="s">
        <v>465</v>
      </c>
      <c r="D44" s="267" t="str">
        <f>'P3 Turbidity'!G39</f>
        <v>0</v>
      </c>
      <c r="E44" s="139"/>
      <c r="F44" s="639"/>
      <c r="G44" s="1019"/>
      <c r="H44" s="639"/>
      <c r="I44" s="135" t="s">
        <v>637</v>
      </c>
      <c r="J44" s="220"/>
      <c r="K44" s="92"/>
      <c r="L44" s="640"/>
      <c r="M44" s="1017"/>
    </row>
    <row r="45" spans="1:13" ht="15" customHeight="1" thickBot="1">
      <c r="A45" s="1017"/>
      <c r="B45" s="693"/>
      <c r="C45" s="136" t="s">
        <v>466</v>
      </c>
      <c r="D45" s="267" t="str">
        <f>'P3 Turbidity'!I39</f>
        <v>0</v>
      </c>
      <c r="E45" s="139"/>
      <c r="F45" s="639"/>
      <c r="G45" s="1019"/>
      <c r="H45" s="639"/>
      <c r="I45" s="750" t="s">
        <v>638</v>
      </c>
      <c r="J45"/>
      <c r="K45" s="92"/>
      <c r="L45" s="640"/>
      <c r="M45" s="1017"/>
    </row>
    <row r="46" spans="1:13" ht="15" customHeight="1">
      <c r="A46" s="1017"/>
      <c r="B46" s="693"/>
      <c r="C46" s="512" t="s">
        <v>467</v>
      </c>
      <c r="D46" s="275"/>
      <c r="E46" s="92"/>
      <c r="F46" s="639"/>
      <c r="G46" s="1019"/>
      <c r="H46" s="639"/>
      <c r="I46" s="1139" t="s">
        <v>756</v>
      </c>
      <c r="J46" s="220"/>
      <c r="K46" s="92"/>
      <c r="L46" s="640"/>
      <c r="M46" s="1017"/>
    </row>
    <row r="47" spans="1:13" ht="3" customHeight="1">
      <c r="A47" s="1017"/>
      <c r="B47" s="693"/>
      <c r="C47" s="639"/>
      <c r="D47" s="639"/>
      <c r="E47" s="691"/>
      <c r="F47" s="691"/>
      <c r="G47" s="1019"/>
      <c r="H47" s="691"/>
      <c r="I47" s="691"/>
      <c r="J47" s="639"/>
      <c r="K47" s="639"/>
      <c r="L47" s="640"/>
      <c r="M47" s="1017"/>
    </row>
    <row r="48" spans="1:13" ht="3" customHeight="1">
      <c r="A48" s="1017"/>
      <c r="B48" s="1015"/>
      <c r="C48" s="1016"/>
      <c r="D48" s="1016"/>
      <c r="E48" s="1017"/>
      <c r="F48" s="1017"/>
      <c r="G48" s="1017"/>
      <c r="H48" s="1017"/>
      <c r="I48" s="1017"/>
      <c r="J48" s="1016"/>
      <c r="K48" s="1016"/>
      <c r="L48" s="1018"/>
      <c r="M48" s="1017"/>
    </row>
    <row r="49" spans="1:13" ht="15" customHeight="1">
      <c r="A49" s="1017"/>
      <c r="B49" s="1513" t="s">
        <v>468</v>
      </c>
      <c r="C49" s="1514"/>
      <c r="D49" s="1514"/>
      <c r="E49" s="1514"/>
      <c r="F49" s="695"/>
      <c r="G49" s="1019"/>
      <c r="H49" s="703"/>
      <c r="I49" s="1514" t="s">
        <v>469</v>
      </c>
      <c r="J49" s="1514"/>
      <c r="K49" s="1514"/>
      <c r="L49" s="1515"/>
      <c r="M49" s="1017"/>
    </row>
    <row r="50" spans="1:13" ht="15" customHeight="1">
      <c r="A50" s="1017"/>
      <c r="B50" s="1516" t="s">
        <v>470</v>
      </c>
      <c r="C50" s="1511"/>
      <c r="D50" s="1511"/>
      <c r="E50" s="1511"/>
      <c r="F50" s="1512"/>
      <c r="G50" s="1021"/>
      <c r="H50" s="1516" t="s">
        <v>470</v>
      </c>
      <c r="I50" s="1511"/>
      <c r="J50" s="1511"/>
      <c r="K50" s="1511"/>
      <c r="L50" s="1512"/>
      <c r="M50" s="1017"/>
    </row>
    <row r="51" spans="1:13" ht="15" customHeight="1" thickBot="1">
      <c r="A51" s="1017"/>
      <c r="B51" s="693"/>
      <c r="C51" s="699" t="s">
        <v>443</v>
      </c>
      <c r="D51" s="137" t="s">
        <v>471</v>
      </c>
      <c r="E51" s="218"/>
      <c r="F51" s="28"/>
      <c r="G51" s="1019"/>
      <c r="H51" s="639"/>
      <c r="I51" s="699" t="s">
        <v>443</v>
      </c>
      <c r="J51" s="137" t="s">
        <v>472</v>
      </c>
      <c r="K51" s="28"/>
      <c r="L51" s="694"/>
      <c r="M51" s="1017"/>
    </row>
    <row r="52" spans="1:13" ht="15" customHeight="1" thickBot="1">
      <c r="A52" s="1017"/>
      <c r="B52" s="693"/>
      <c r="C52" s="134" t="s">
        <v>473</v>
      </c>
      <c r="D52" s="266">
        <f>'P6 ChlorineDioxide'!M35</f>
        <v>0</v>
      </c>
      <c r="E52" s="139"/>
      <c r="F52" s="639"/>
      <c r="G52" s="1019"/>
      <c r="H52" s="639"/>
      <c r="I52" s="135" t="s">
        <v>473</v>
      </c>
      <c r="J52" s="266">
        <f>D52</f>
        <v>0</v>
      </c>
      <c r="K52" s="139"/>
      <c r="L52" s="640"/>
      <c r="M52" s="1017"/>
    </row>
    <row r="53" spans="1:13" ht="3" customHeight="1">
      <c r="A53" s="1017"/>
      <c r="B53" s="693"/>
      <c r="C53" s="134"/>
      <c r="D53" s="275"/>
      <c r="E53" s="33"/>
      <c r="F53" s="639"/>
      <c r="G53" s="1019"/>
      <c r="H53" s="639"/>
      <c r="I53" s="135"/>
      <c r="J53" s="275"/>
      <c r="K53" s="33"/>
      <c r="L53" s="640"/>
      <c r="M53" s="1017"/>
    </row>
    <row r="54" spans="1:13" ht="26.25" customHeight="1" thickBot="1">
      <c r="A54" s="1017"/>
      <c r="B54" s="693"/>
      <c r="C54" s="280" t="s">
        <v>474</v>
      </c>
      <c r="D54" s="701" t="str">
        <f>IF('P6 ChlorineDioxide'!M35&gt;'P6 ChlorineDioxide'!E35,"No",IF('P6 ChlorineDioxide'!M35=0," ","Yes"))</f>
        <v xml:space="preserve"> </v>
      </c>
      <c r="E54" s="345"/>
      <c r="F54" s="640"/>
      <c r="G54" s="1019"/>
      <c r="H54" s="639"/>
      <c r="I54" s="281" t="s">
        <v>475</v>
      </c>
      <c r="J54" s="701" t="str">
        <f>IF('P6 ChlorineDioxide'!M35&gt;'P6 ChlorineDioxide'!H35,"No",IF('P6 ChlorineDioxide'!M35=0," ","Yes"))</f>
        <v xml:space="preserve"> </v>
      </c>
      <c r="K54" s="345"/>
      <c r="L54" s="640"/>
      <c r="M54" s="1017"/>
    </row>
    <row r="55" spans="1:13" ht="3" customHeight="1">
      <c r="A55" s="1017"/>
      <c r="B55" s="693"/>
      <c r="C55" s="134"/>
      <c r="D55" s="642"/>
      <c r="E55" s="26"/>
      <c r="F55" s="639"/>
      <c r="G55" s="1019"/>
      <c r="H55" s="639"/>
      <c r="I55" s="135"/>
      <c r="J55" s="642"/>
      <c r="K55" s="26"/>
      <c r="L55" s="640"/>
      <c r="M55" s="1017"/>
    </row>
    <row r="56" spans="1:13" ht="15" customHeight="1" thickBot="1">
      <c r="A56" s="1017"/>
      <c r="B56" s="693"/>
      <c r="C56" s="134" t="s">
        <v>449</v>
      </c>
      <c r="D56" s="266">
        <f>'P6 ChlorineDioxide'!E35</f>
        <v>0</v>
      </c>
      <c r="E56" s="139"/>
      <c r="F56" s="639"/>
      <c r="G56" s="1019"/>
      <c r="H56" s="639"/>
      <c r="I56" s="135" t="s">
        <v>449</v>
      </c>
      <c r="J56" s="266">
        <f>'P6 ChlorineDioxide'!H35</f>
        <v>0</v>
      </c>
      <c r="K56" s="139"/>
      <c r="L56" s="640"/>
      <c r="M56" s="1017"/>
    </row>
    <row r="57" spans="1:13" ht="15" customHeight="1" thickBot="1">
      <c r="A57" s="1017"/>
      <c r="B57" s="693"/>
      <c r="C57" s="135" t="s">
        <v>476</v>
      </c>
      <c r="D57" s="278">
        <f>'P6 ChlorineDioxide'!E36</f>
        <v>0</v>
      </c>
      <c r="E57"/>
      <c r="F57" s="639"/>
      <c r="G57" s="1019"/>
      <c r="H57" s="639"/>
      <c r="I57" s="135" t="s">
        <v>477</v>
      </c>
      <c r="J57" s="279">
        <f>'P6 ChlorineDioxide'!H36</f>
        <v>0</v>
      </c>
      <c r="K57"/>
      <c r="L57" s="640"/>
      <c r="M57" s="1017"/>
    </row>
    <row r="58" spans="1:13" ht="15" customHeight="1" thickBot="1">
      <c r="A58" s="1017"/>
      <c r="B58" s="693"/>
      <c r="C58" s="254" t="s">
        <v>478</v>
      </c>
      <c r="D58" s="266">
        <f>'P6 ChlorineDioxide'!E37</f>
        <v>0</v>
      </c>
      <c r="E58" s="139"/>
      <c r="F58" s="639"/>
      <c r="G58" s="1019"/>
      <c r="H58" s="639"/>
      <c r="I58" s="135" t="s">
        <v>479</v>
      </c>
      <c r="J58" s="266">
        <f>'P6 ChlorineDioxide'!H37</f>
        <v>0</v>
      </c>
      <c r="K58" s="139"/>
      <c r="L58" s="640"/>
      <c r="M58" s="1017"/>
    </row>
    <row r="59" spans="1:13" ht="3" customHeight="1">
      <c r="A59" s="1017"/>
      <c r="B59" s="690"/>
      <c r="C59" s="691"/>
      <c r="D59" s="691"/>
      <c r="E59" s="691"/>
      <c r="F59" s="691"/>
      <c r="G59" s="1019"/>
      <c r="H59" s="691"/>
      <c r="I59" s="691"/>
      <c r="J59" s="691"/>
      <c r="K59" s="691"/>
      <c r="L59" s="692"/>
      <c r="M59" s="1017"/>
    </row>
    <row r="60" spans="1:13" ht="3" customHeight="1">
      <c r="A60" s="1017"/>
      <c r="B60" s="1017"/>
      <c r="C60" s="1017"/>
      <c r="D60" s="1017"/>
      <c r="E60" s="1017"/>
      <c r="F60" s="1017"/>
      <c r="G60" s="1017"/>
      <c r="H60" s="1017"/>
      <c r="I60" s="1017"/>
      <c r="J60" s="1017"/>
      <c r="K60" s="1017"/>
      <c r="L60" s="1017"/>
      <c r="M60" s="1017"/>
    </row>
    <row r="61" spans="1:13" ht="15" customHeight="1">
      <c r="A61" s="1017"/>
      <c r="B61" s="696"/>
      <c r="C61" s="1514" t="s">
        <v>480</v>
      </c>
      <c r="D61" s="1514"/>
      <c r="E61" s="1514"/>
      <c r="F61" s="1514"/>
      <c r="G61" s="1514"/>
      <c r="H61" s="1514"/>
      <c r="I61" s="1514"/>
      <c r="J61" s="1514"/>
      <c r="K61" s="1514"/>
      <c r="L61" s="1515"/>
      <c r="M61" s="1017"/>
    </row>
    <row r="62" spans="1:13" ht="15" customHeight="1">
      <c r="A62" s="1017"/>
      <c r="B62" s="1516" t="s">
        <v>481</v>
      </c>
      <c r="C62" s="1511"/>
      <c r="D62" s="1511"/>
      <c r="E62" s="1511"/>
      <c r="F62" s="1511"/>
      <c r="G62" s="1511"/>
      <c r="H62" s="1511"/>
      <c r="I62" s="1511"/>
      <c r="J62" s="1511"/>
      <c r="K62" s="1511"/>
      <c r="L62" s="1512"/>
      <c r="M62" s="1017"/>
    </row>
    <row r="63" spans="1:13" ht="28.5" customHeight="1" thickBot="1">
      <c r="A63" s="1017"/>
      <c r="B63" s="693"/>
      <c r="C63" s="1517" t="s">
        <v>482</v>
      </c>
      <c r="D63" s="1517"/>
      <c r="E63" s="1517"/>
      <c r="F63" s="1517"/>
      <c r="G63" s="1517"/>
      <c r="H63" s="1517"/>
      <c r="I63" s="1517"/>
      <c r="J63" s="704" t="str">
        <f>'P3 Turbidity'!Z38</f>
        <v xml:space="preserve"> </v>
      </c>
      <c r="K63" s="639"/>
      <c r="L63" s="640"/>
      <c r="M63" s="1017"/>
    </row>
    <row r="64" spans="1:13" ht="42.75" customHeight="1" thickBot="1">
      <c r="A64" s="1017"/>
      <c r="B64" s="693"/>
      <c r="C64" s="1518" t="s">
        <v>483</v>
      </c>
      <c r="D64" s="1518"/>
      <c r="E64" s="1518"/>
      <c r="F64" s="1518"/>
      <c r="G64" s="1518"/>
      <c r="H64" s="1518"/>
      <c r="I64" s="1518"/>
      <c r="J64" s="705">
        <f>'P8 LT2 Bin2'!G3</f>
        <v>0</v>
      </c>
      <c r="K64" s="639"/>
      <c r="L64" s="640"/>
      <c r="M64" s="1017"/>
    </row>
    <row r="65" spans="1:13" ht="28.5" customHeight="1" thickBot="1">
      <c r="A65" s="1017"/>
      <c r="B65" s="690"/>
      <c r="C65" s="1519" t="s">
        <v>484</v>
      </c>
      <c r="D65" s="1519"/>
      <c r="E65" s="1519"/>
      <c r="F65" s="1519"/>
      <c r="G65" s="1519"/>
      <c r="H65" s="1519"/>
      <c r="I65" s="1519"/>
      <c r="J65" s="705">
        <f>'P8 LT2 Bin2'!G4</f>
        <v>0</v>
      </c>
      <c r="K65" s="691"/>
      <c r="L65" s="692"/>
      <c r="M65" s="1017"/>
    </row>
    <row r="66" spans="1:13" ht="12.75" customHeight="1">
      <c r="A66" s="1017"/>
      <c r="B66" s="1027"/>
      <c r="C66" s="1028"/>
      <c r="D66" s="1029"/>
      <c r="E66" s="1029"/>
      <c r="F66" s="1029"/>
      <c r="G66" s="1029"/>
      <c r="H66" s="1029"/>
      <c r="I66" s="1029"/>
      <c r="J66" s="1030">
        <f>PWSID</f>
        <v>0</v>
      </c>
      <c r="K66" s="1029"/>
      <c r="L66" s="1029"/>
      <c r="M66" s="1017"/>
    </row>
    <row r="67" spans="1:13" ht="12.75" customHeight="1">
      <c r="A67" s="1022"/>
      <c r="B67" s="1022"/>
      <c r="C67" s="1022"/>
      <c r="D67" s="1022"/>
      <c r="E67" s="1022"/>
      <c r="F67" s="1022"/>
      <c r="G67" s="1022"/>
      <c r="H67" s="1022"/>
      <c r="I67" s="1022"/>
      <c r="J67" s="1012" t="str">
        <f>MMYYYY</f>
        <v>05/2025</v>
      </c>
      <c r="K67" s="1022"/>
      <c r="L67" s="1022"/>
      <c r="M67" s="1024"/>
    </row>
    <row r="68" spans="1:13" ht="6.75" customHeight="1">
      <c r="A68" s="1022"/>
      <c r="B68" s="1022"/>
      <c r="C68" s="1022"/>
      <c r="D68" s="1022"/>
      <c r="E68" s="1022"/>
      <c r="F68" s="1022"/>
      <c r="G68" s="1022"/>
      <c r="H68" s="1022"/>
      <c r="I68" s="1022"/>
      <c r="J68" s="1022"/>
      <c r="K68" s="1022"/>
      <c r="L68" s="1022"/>
      <c r="M68" s="791"/>
    </row>
    <row r="69" spans="1:13">
      <c r="D69" s="301"/>
      <c r="E69" s="301"/>
      <c r="F69" s="301"/>
      <c r="G69" s="301"/>
      <c r="H69" s="341"/>
      <c r="I69" s="341"/>
    </row>
  </sheetData>
  <sheetProtection algorithmName="SHA-512" hashValue="9SNWY083QREbFrX2BgMrW6AnwF+t524nvbasxK8qJGFk+mA04F167z73bkmrp3mB18FcWsW3qSRQF3RL/KLi1w==" saltValue="KuYcgaaRQ9jX5+0ntj3Mjg==" spinCount="100000" sheet="1" selectLockedCells="1"/>
  <mergeCells count="15">
    <mergeCell ref="C65:I65"/>
    <mergeCell ref="C61:L61"/>
    <mergeCell ref="B29:E29"/>
    <mergeCell ref="B49:E49"/>
    <mergeCell ref="I49:L49"/>
    <mergeCell ref="H30:L30"/>
    <mergeCell ref="B30:F30"/>
    <mergeCell ref="H50:L50"/>
    <mergeCell ref="B50:F50"/>
    <mergeCell ref="B62:L62"/>
    <mergeCell ref="B2:L2"/>
    <mergeCell ref="B6:L6"/>
    <mergeCell ref="B7:L7"/>
    <mergeCell ref="C63:I63"/>
    <mergeCell ref="C64:I64"/>
  </mergeCells>
  <phoneticPr fontId="0" type="noConversion"/>
  <dataValidations xWindow="414" yWindow="403" count="4">
    <dataValidation type="list" errorStyle="information" allowBlank="1" showInputMessage="1" showErrorMessage="1" errorTitle="Invalid Entry" error="You must use either Y or N." prompt="Select Y or N" sqref="K26 E46 K12 K14 K16 K18 K20 K22 K24 K39" xr:uid="{00000000-0002-0000-0C00-000000000000}">
      <formula1>$M$1:$M$2</formula1>
    </dataValidation>
    <dataValidation type="list" errorStyle="information" showInputMessage="1" showErrorMessage="1" errorTitle="Invalid Entry" error="You must use either Y or N." prompt="Select Y or N" sqref="E42 E34" xr:uid="{2CB59357-2443-4BBA-9348-733279783305}">
      <formula1>$M$1:$M$2</formula1>
    </dataValidation>
    <dataValidation type="list" allowBlank="1" showInputMessage="1" showErrorMessage="1" prompt="Select Y or N" sqref="K10" xr:uid="{35876A43-0B95-4208-ADFF-31E5EF901C93}">
      <formula1>$M$1:$M$2</formula1>
    </dataValidation>
    <dataValidation type="list" allowBlank="1" showInputMessage="1" showErrorMessage="1" sqref="K44:K46" xr:uid="{B01E9173-1A4B-4147-8DF4-9CB4767E55DE}">
      <formula1>$M$1:$M$2</formula1>
    </dataValidation>
  </dataValidations>
  <hyperlinks>
    <hyperlink ref="C1" location="Bookmarks!A1" display="Return to Bookmarks" xr:uid="{C0DF9171-F150-434B-8161-DC67B2EC12D7}"/>
  </hyperlinks>
  <printOptions horizontalCentered="1" verticalCentered="1"/>
  <pageMargins left="1" right="0.25" top="0.5" bottom="0.5" header="0.25" footer="0"/>
  <pageSetup scale="83" fitToWidth="0" orientation="portrait" r:id="rId1"/>
  <headerFooter alignWithMargins="0">
    <oddHeader>&amp;LMonthly Operating Report
Water Treatment Plant Summary</oddHeader>
  </headerFooter>
  <ignoredErrors>
    <ignoredError sqref="J31 D31" numberStoredAsText="1"/>
    <ignoredError sqref="J66:J67"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FFFF00"/>
    <pageSetUpPr fitToPage="1"/>
  </sheetPr>
  <dimension ref="A1:N54"/>
  <sheetViews>
    <sheetView showGridLines="0" zoomScale="110" zoomScaleNormal="110" workbookViewId="0">
      <selection activeCell="B4" sqref="B4"/>
    </sheetView>
  </sheetViews>
  <sheetFormatPr defaultColWidth="9" defaultRowHeight="9"/>
  <cols>
    <col min="1" max="1" width="1.5703125" style="25" customWidth="1"/>
    <col min="2" max="2" width="22.7109375" style="25" customWidth="1"/>
    <col min="3" max="3" width="2.28515625" style="25" customWidth="1"/>
    <col min="4" max="4" width="21.28515625" style="25" customWidth="1"/>
    <col min="5" max="5" width="1.5703125" style="25" customWidth="1"/>
    <col min="6" max="6" width="5.5703125" style="25" customWidth="1"/>
    <col min="7" max="7" width="1.7109375" style="25" customWidth="1"/>
    <col min="8" max="8" width="23.5703125" style="25" customWidth="1"/>
    <col min="9" max="9" width="2.5703125" style="25" customWidth="1"/>
    <col min="10" max="10" width="23.7109375" style="25" customWidth="1"/>
    <col min="11" max="11" width="3.5703125" style="25" customWidth="1"/>
    <col min="12" max="12" width="1.7109375" style="1059" customWidth="1"/>
    <col min="13" max="13" width="9" style="1059"/>
    <col min="14" max="16384" width="9" style="31"/>
  </cols>
  <sheetData>
    <row r="1" spans="1:13" ht="24.75" customHeight="1">
      <c r="A1" s="1097"/>
      <c r="B1" s="1094" t="s">
        <v>730</v>
      </c>
      <c r="C1" s="1520" t="s">
        <v>485</v>
      </c>
      <c r="D1" s="1520"/>
      <c r="E1" s="1520"/>
      <c r="F1" s="1520"/>
      <c r="G1" s="1520"/>
      <c r="H1" s="1520"/>
      <c r="I1" s="1520"/>
      <c r="J1" s="1520"/>
      <c r="K1" s="1521"/>
      <c r="L1" s="1056"/>
    </row>
    <row r="2" spans="1:13" s="342" customFormat="1" ht="17.25" customHeight="1">
      <c r="A2" s="1044"/>
      <c r="B2" s="1045" t="s">
        <v>486</v>
      </c>
      <c r="C2" s="1046"/>
      <c r="D2" s="1046"/>
      <c r="E2" s="1046"/>
      <c r="F2" s="1049"/>
      <c r="G2" s="1048"/>
      <c r="H2" s="1045" t="s">
        <v>487</v>
      </c>
      <c r="I2" s="1046"/>
      <c r="J2" s="1046"/>
      <c r="K2" s="1047"/>
      <c r="L2" s="1057"/>
      <c r="M2" s="1060"/>
    </row>
    <row r="3" spans="1:13" ht="15" customHeight="1">
      <c r="A3" s="1040"/>
      <c r="B3" s="1041" t="s">
        <v>488</v>
      </c>
      <c r="C3" s="1042"/>
      <c r="D3" s="1041" t="s">
        <v>489</v>
      </c>
      <c r="E3" s="1043"/>
      <c r="F3" s="1020"/>
      <c r="G3" s="1040"/>
      <c r="H3" s="1041" t="s">
        <v>490</v>
      </c>
      <c r="I3" s="1042"/>
      <c r="J3" s="1041" t="s">
        <v>489</v>
      </c>
      <c r="K3" s="1043"/>
      <c r="L3" s="1058"/>
    </row>
    <row r="4" spans="1:13" s="20" customFormat="1" ht="17.100000000000001" customHeight="1" thickBot="1">
      <c r="A4" s="693"/>
      <c r="B4" s="126"/>
      <c r="C4" s="26"/>
      <c r="D4" s="428"/>
      <c r="E4" s="26"/>
      <c r="F4" s="1050"/>
      <c r="G4" s="26"/>
      <c r="H4" s="127"/>
      <c r="I4" s="26"/>
      <c r="J4" s="429"/>
      <c r="K4" s="640"/>
      <c r="L4" s="1052"/>
      <c r="M4" s="135"/>
    </row>
    <row r="5" spans="1:13" s="20" customFormat="1" ht="17.100000000000001" customHeight="1" thickBot="1">
      <c r="A5" s="693"/>
      <c r="B5" s="126"/>
      <c r="C5" s="26"/>
      <c r="D5" s="428"/>
      <c r="E5" s="26"/>
      <c r="F5" s="1050"/>
      <c r="G5" s="26"/>
      <c r="H5" s="126"/>
      <c r="I5" s="26"/>
      <c r="J5" s="429"/>
      <c r="K5" s="640"/>
      <c r="L5" s="1052"/>
      <c r="M5" s="135"/>
    </row>
    <row r="6" spans="1:13" s="20" customFormat="1" ht="17.100000000000001" customHeight="1" thickBot="1">
      <c r="A6" s="693"/>
      <c r="B6" s="126"/>
      <c r="C6" s="26"/>
      <c r="D6" s="428"/>
      <c r="E6" s="26"/>
      <c r="F6" s="1050"/>
      <c r="G6" s="26"/>
      <c r="H6" s="126"/>
      <c r="I6" s="26"/>
      <c r="J6" s="429"/>
      <c r="K6" s="640"/>
      <c r="L6" s="1052"/>
      <c r="M6" s="135"/>
    </row>
    <row r="7" spans="1:13" s="20" customFormat="1" ht="17.100000000000001" customHeight="1" thickBot="1">
      <c r="A7" s="693"/>
      <c r="B7" s="126"/>
      <c r="C7" s="26"/>
      <c r="D7" s="428"/>
      <c r="E7" s="26"/>
      <c r="F7" s="1050"/>
      <c r="G7" s="26"/>
      <c r="H7" s="126"/>
      <c r="I7" s="26"/>
      <c r="J7" s="429"/>
      <c r="K7" s="640"/>
      <c r="L7" s="1052"/>
      <c r="M7" s="135"/>
    </row>
    <row r="8" spans="1:13" s="20" customFormat="1" ht="17.100000000000001" customHeight="1" thickBot="1">
      <c r="A8" s="693"/>
      <c r="B8" s="126"/>
      <c r="C8" s="26"/>
      <c r="D8" s="428"/>
      <c r="E8" s="26"/>
      <c r="F8" s="1050"/>
      <c r="G8" s="26"/>
      <c r="H8" s="126"/>
      <c r="I8" s="26"/>
      <c r="J8" s="429"/>
      <c r="K8" s="640"/>
      <c r="L8" s="1052"/>
      <c r="M8" s="135"/>
    </row>
    <row r="9" spans="1:13" s="20" customFormat="1" ht="17.100000000000001" customHeight="1" thickBot="1">
      <c r="A9" s="693"/>
      <c r="B9" s="126"/>
      <c r="C9" s="26"/>
      <c r="D9" s="428"/>
      <c r="E9" s="26"/>
      <c r="F9" s="1050"/>
      <c r="G9" s="26"/>
      <c r="H9" s="126"/>
      <c r="I9" s="26"/>
      <c r="J9" s="429"/>
      <c r="K9" s="640"/>
      <c r="L9" s="1052"/>
      <c r="M9" s="135"/>
    </row>
    <row r="10" spans="1:13" s="20" customFormat="1" ht="17.100000000000001" customHeight="1" thickBot="1">
      <c r="A10" s="693"/>
      <c r="B10" s="126"/>
      <c r="C10" s="26"/>
      <c r="D10" s="428"/>
      <c r="E10" s="26"/>
      <c r="F10" s="1050"/>
      <c r="G10" s="26"/>
      <c r="H10" s="126"/>
      <c r="I10" s="26"/>
      <c r="J10" s="430"/>
      <c r="K10" s="640"/>
      <c r="L10" s="1052"/>
      <c r="M10" s="135"/>
    </row>
    <row r="11" spans="1:13" s="20" customFormat="1" ht="17.100000000000001" customHeight="1" thickBot="1">
      <c r="A11" s="693"/>
      <c r="B11" s="126"/>
      <c r="C11" s="26"/>
      <c r="D11" s="428"/>
      <c r="E11" s="26"/>
      <c r="F11" s="1050"/>
      <c r="G11" s="26"/>
      <c r="H11" s="126"/>
      <c r="I11" s="26"/>
      <c r="J11" s="430"/>
      <c r="K11" s="640"/>
      <c r="L11" s="1052"/>
      <c r="M11" s="135"/>
    </row>
    <row r="12" spans="1:13" s="20" customFormat="1" ht="17.100000000000001" customHeight="1" thickBot="1">
      <c r="A12" s="693"/>
      <c r="B12" s="126"/>
      <c r="C12" s="26"/>
      <c r="D12" s="428"/>
      <c r="E12" s="26"/>
      <c r="F12" s="1050"/>
      <c r="G12" s="26"/>
      <c r="H12" s="126"/>
      <c r="I12" s="26"/>
      <c r="J12" s="429"/>
      <c r="K12" s="640"/>
      <c r="L12" s="1052"/>
      <c r="M12" s="135"/>
    </row>
    <row r="13" spans="1:13" s="20" customFormat="1" ht="17.100000000000001" customHeight="1" thickBot="1">
      <c r="A13" s="693"/>
      <c r="B13" s="126"/>
      <c r="C13" s="26"/>
      <c r="D13" s="428"/>
      <c r="E13" s="26"/>
      <c r="F13" s="1050"/>
      <c r="G13" s="26"/>
      <c r="H13" s="126"/>
      <c r="I13" s="26"/>
      <c r="J13" s="430"/>
      <c r="K13" s="640"/>
      <c r="L13" s="1052"/>
      <c r="M13" s="135"/>
    </row>
    <row r="14" spans="1:13" s="20" customFormat="1" ht="17.100000000000001" customHeight="1" thickBot="1">
      <c r="A14" s="693"/>
      <c r="B14" s="126"/>
      <c r="C14" s="26"/>
      <c r="D14" s="428"/>
      <c r="E14" s="26"/>
      <c r="F14" s="1050"/>
      <c r="G14" s="26"/>
      <c r="H14" s="126"/>
      <c r="I14" s="26"/>
      <c r="J14" s="430"/>
      <c r="K14" s="640"/>
      <c r="L14" s="1052"/>
      <c r="M14" s="135"/>
    </row>
    <row r="15" spans="1:13" s="20" customFormat="1" ht="17.100000000000001" customHeight="1" thickBot="1">
      <c r="A15" s="693"/>
      <c r="B15" s="126"/>
      <c r="C15" s="26"/>
      <c r="D15" s="428"/>
      <c r="E15" s="26"/>
      <c r="F15" s="1050"/>
      <c r="G15" s="26"/>
      <c r="H15" s="126"/>
      <c r="I15" s="26"/>
      <c r="J15" s="430"/>
      <c r="K15" s="640"/>
      <c r="L15" s="1052"/>
      <c r="M15" s="135"/>
    </row>
    <row r="16" spans="1:13" s="20" customFormat="1" ht="17.100000000000001" customHeight="1" thickBot="1">
      <c r="A16" s="693"/>
      <c r="B16" s="126"/>
      <c r="C16" s="26"/>
      <c r="D16" s="428"/>
      <c r="E16" s="26"/>
      <c r="F16" s="1050"/>
      <c r="G16" s="26"/>
      <c r="H16" s="126"/>
      <c r="I16" s="26"/>
      <c r="J16" s="430"/>
      <c r="K16" s="640"/>
      <c r="L16" s="1052"/>
      <c r="M16" s="135"/>
    </row>
    <row r="17" spans="1:13" s="20" customFormat="1" ht="17.100000000000001" customHeight="1" thickBot="1">
      <c r="A17" s="693"/>
      <c r="B17" s="126"/>
      <c r="C17" s="26"/>
      <c r="D17" s="428"/>
      <c r="E17" s="26"/>
      <c r="F17" s="1050"/>
      <c r="G17" s="26"/>
      <c r="H17" s="126"/>
      <c r="I17" s="26"/>
      <c r="J17" s="430"/>
      <c r="K17" s="640"/>
      <c r="L17" s="1052"/>
      <c r="M17" s="135"/>
    </row>
    <row r="18" spans="1:13" s="20" customFormat="1" ht="17.100000000000001" customHeight="1" thickBot="1">
      <c r="A18" s="693"/>
      <c r="B18" s="126"/>
      <c r="C18" s="26"/>
      <c r="D18" s="428"/>
      <c r="E18" s="26"/>
      <c r="F18" s="1050"/>
      <c r="G18" s="26"/>
      <c r="H18" s="126"/>
      <c r="I18" s="26"/>
      <c r="J18" s="430"/>
      <c r="K18" s="640"/>
      <c r="L18" s="1052"/>
      <c r="M18" s="135"/>
    </row>
    <row r="19" spans="1:13" s="20" customFormat="1" ht="17.100000000000001" customHeight="1" thickBot="1">
      <c r="A19" s="693"/>
      <c r="B19" s="126"/>
      <c r="C19" s="26"/>
      <c r="D19" s="428"/>
      <c r="E19" s="26"/>
      <c r="F19" s="1050"/>
      <c r="G19" s="26"/>
      <c r="H19" s="126"/>
      <c r="I19" s="26"/>
      <c r="J19" s="430"/>
      <c r="K19" s="640"/>
      <c r="L19" s="1052"/>
      <c r="M19" s="135"/>
    </row>
    <row r="20" spans="1:13" s="20" customFormat="1" ht="17.100000000000001" customHeight="1" thickBot="1">
      <c r="A20" s="693"/>
      <c r="B20" s="126"/>
      <c r="C20" s="26"/>
      <c r="D20" s="428"/>
      <c r="E20" s="26"/>
      <c r="F20" s="1050"/>
      <c r="G20" s="26"/>
      <c r="H20" s="126"/>
      <c r="I20" s="26"/>
      <c r="J20" s="430"/>
      <c r="K20" s="640"/>
      <c r="L20" s="1052"/>
      <c r="M20" s="135"/>
    </row>
    <row r="21" spans="1:13" s="20" customFormat="1" ht="17.100000000000001" customHeight="1" thickBot="1">
      <c r="A21" s="693"/>
      <c r="B21" s="126"/>
      <c r="C21" s="26"/>
      <c r="D21" s="428"/>
      <c r="E21" s="26"/>
      <c r="F21" s="1050"/>
      <c r="G21" s="26"/>
      <c r="H21" s="126"/>
      <c r="I21" s="26"/>
      <c r="J21" s="430"/>
      <c r="K21" s="640"/>
      <c r="L21" s="1052"/>
      <c r="M21" s="135"/>
    </row>
    <row r="22" spans="1:13" s="20" customFormat="1" ht="17.100000000000001" customHeight="1" thickBot="1">
      <c r="A22" s="693"/>
      <c r="B22" s="126"/>
      <c r="C22" s="26"/>
      <c r="D22" s="428"/>
      <c r="E22" s="26"/>
      <c r="F22" s="1050"/>
      <c r="G22" s="26"/>
      <c r="H22" s="126"/>
      <c r="I22" s="26"/>
      <c r="J22" s="430"/>
      <c r="K22" s="640"/>
      <c r="L22" s="1052"/>
      <c r="M22" s="135"/>
    </row>
    <row r="23" spans="1:13" s="20" customFormat="1" ht="17.100000000000001" customHeight="1" thickBot="1">
      <c r="A23" s="693"/>
      <c r="B23" s="126"/>
      <c r="C23" s="26"/>
      <c r="D23" s="428"/>
      <c r="E23" s="26"/>
      <c r="F23" s="1050"/>
      <c r="G23" s="26"/>
      <c r="H23" s="126"/>
      <c r="I23" s="26"/>
      <c r="J23" s="430"/>
      <c r="K23" s="640"/>
      <c r="L23" s="1052"/>
      <c r="M23" s="135"/>
    </row>
    <row r="24" spans="1:13" s="20" customFormat="1" ht="17.100000000000001" customHeight="1" thickBot="1">
      <c r="A24" s="693"/>
      <c r="B24" s="126"/>
      <c r="C24" s="26"/>
      <c r="D24" s="428"/>
      <c r="E24" s="26"/>
      <c r="F24" s="1050"/>
      <c r="G24" s="26"/>
      <c r="H24" s="126"/>
      <c r="I24" s="26"/>
      <c r="J24" s="430"/>
      <c r="K24" s="640"/>
      <c r="L24" s="1052"/>
      <c r="M24" s="135"/>
    </row>
    <row r="25" spans="1:13" s="20" customFormat="1" ht="17.100000000000001" customHeight="1" thickBot="1">
      <c r="A25" s="693"/>
      <c r="B25" s="126"/>
      <c r="C25" s="26"/>
      <c r="D25" s="428"/>
      <c r="E25" s="26"/>
      <c r="F25" s="1050"/>
      <c r="G25" s="26"/>
      <c r="H25" s="126"/>
      <c r="I25" s="26"/>
      <c r="J25" s="428"/>
      <c r="K25" s="640"/>
      <c r="L25" s="1052"/>
      <c r="M25" s="135"/>
    </row>
    <row r="26" spans="1:13" s="20" customFormat="1" ht="17.100000000000001" customHeight="1" thickBot="1">
      <c r="A26" s="693"/>
      <c r="B26" s="126"/>
      <c r="C26" s="26"/>
      <c r="D26" s="428"/>
      <c r="E26" s="26"/>
      <c r="F26" s="1050"/>
      <c r="G26" s="26"/>
      <c r="H26" s="126"/>
      <c r="I26" s="26"/>
      <c r="J26" s="428"/>
      <c r="K26" s="640"/>
      <c r="L26" s="1052"/>
      <c r="M26" s="135"/>
    </row>
    <row r="27" spans="1:13" s="20" customFormat="1" ht="17.100000000000001" customHeight="1" thickBot="1">
      <c r="A27" s="693"/>
      <c r="B27" s="126"/>
      <c r="C27" s="26"/>
      <c r="D27" s="428"/>
      <c r="E27" s="26"/>
      <c r="F27" s="1050"/>
      <c r="G27" s="26"/>
      <c r="H27" s="126"/>
      <c r="I27" s="26"/>
      <c r="J27" s="428"/>
      <c r="K27" s="640"/>
      <c r="L27" s="1052"/>
      <c r="M27" s="135"/>
    </row>
    <row r="28" spans="1:13" s="20" customFormat="1" ht="17.100000000000001" customHeight="1" thickBot="1">
      <c r="A28" s="693"/>
      <c r="B28" s="126"/>
      <c r="C28" s="26"/>
      <c r="D28" s="428"/>
      <c r="E28" s="34"/>
      <c r="F28" s="1050"/>
      <c r="G28" s="26"/>
      <c r="H28" s="126"/>
      <c r="I28" s="26"/>
      <c r="J28" s="428"/>
      <c r="K28" s="640"/>
      <c r="L28" s="1052"/>
      <c r="M28" s="135"/>
    </row>
    <row r="29" spans="1:13" s="20" customFormat="1" ht="4.5" customHeight="1">
      <c r="A29" s="690"/>
      <c r="B29" s="1522"/>
      <c r="C29" s="1523"/>
      <c r="D29" s="1522"/>
      <c r="E29" s="692"/>
      <c r="F29" s="1019"/>
      <c r="G29" s="690"/>
      <c r="H29" s="691"/>
      <c r="I29" s="691"/>
      <c r="J29" s="691"/>
      <c r="K29" s="692"/>
      <c r="L29" s="1052"/>
      <c r="M29" s="135"/>
    </row>
    <row r="30" spans="1:13" s="20" customFormat="1" ht="10.15" customHeight="1">
      <c r="A30" s="1021"/>
      <c r="B30" s="1017"/>
      <c r="C30" s="1017"/>
      <c r="D30" s="1017"/>
      <c r="E30" s="1017"/>
      <c r="F30" s="1017"/>
      <c r="G30" s="1017"/>
      <c r="H30" s="1017"/>
      <c r="I30" s="1017"/>
      <c r="J30" s="1017"/>
      <c r="K30" s="1051"/>
      <c r="L30" s="1052"/>
      <c r="M30" s="135"/>
    </row>
    <row r="31" spans="1:13" s="20" customFormat="1" ht="15" customHeight="1">
      <c r="A31" s="1513" t="s">
        <v>491</v>
      </c>
      <c r="B31" s="1514"/>
      <c r="C31" s="1514"/>
      <c r="D31" s="1514"/>
      <c r="E31" s="1514"/>
      <c r="F31" s="1514"/>
      <c r="G31" s="1514"/>
      <c r="H31" s="1514"/>
      <c r="I31" s="1514"/>
      <c r="J31" s="1514"/>
      <c r="K31" s="1515"/>
      <c r="L31" s="1052"/>
      <c r="M31" s="135"/>
    </row>
    <row r="32" spans="1:13" s="20" customFormat="1" ht="13.5" customHeight="1">
      <c r="A32" s="1516" t="s">
        <v>492</v>
      </c>
      <c r="B32" s="1511"/>
      <c r="C32" s="1511"/>
      <c r="D32" s="1511"/>
      <c r="E32" s="1511"/>
      <c r="F32" s="1511"/>
      <c r="G32" s="1511"/>
      <c r="H32" s="1511"/>
      <c r="I32" s="1511"/>
      <c r="J32" s="1511"/>
      <c r="K32" s="1512"/>
      <c r="L32" s="1052"/>
      <c r="M32" s="135"/>
    </row>
    <row r="33" spans="1:14" s="20" customFormat="1" ht="18.600000000000001" customHeight="1">
      <c r="A33" s="706"/>
      <c r="B33" s="135" t="s">
        <v>493</v>
      </c>
      <c r="C33" s="1054"/>
      <c r="D33" s="1054"/>
      <c r="E33" s="1054"/>
      <c r="F33" s="639"/>
      <c r="G33" s="642"/>
      <c r="H33" s="639"/>
      <c r="I33" s="639"/>
      <c r="J33" s="639"/>
      <c r="K33" s="640"/>
      <c r="L33" s="1052"/>
      <c r="M33" s="966"/>
      <c r="N33"/>
    </row>
    <row r="34" spans="1:14" s="20" customFormat="1" ht="15" customHeight="1" thickBot="1">
      <c r="A34" s="706"/>
      <c r="B34" s="135" t="s">
        <v>494</v>
      </c>
      <c r="C34" s="639"/>
      <c r="D34" s="25"/>
      <c r="E34" s="28"/>
      <c r="F34" s="646" t="str">
        <f>IF('P5 Dis. Residual'!B40&gt;0,'P5 Dis. Residual'!B40,"")</f>
        <v/>
      </c>
      <c r="G34" s="642"/>
      <c r="H34" s="29" t="s">
        <v>495</v>
      </c>
      <c r="I34" s="639"/>
      <c r="J34" s="639"/>
      <c r="K34" s="640"/>
      <c r="L34" s="1052"/>
      <c r="M34" s="1061" t="s">
        <v>125</v>
      </c>
      <c r="N34" s="642"/>
    </row>
    <row r="35" spans="1:14" s="20" customFormat="1" ht="15" customHeight="1" thickBot="1">
      <c r="A35" s="706"/>
      <c r="B35" s="134" t="s">
        <v>496</v>
      </c>
      <c r="C35" s="639"/>
      <c r="D35" s="639"/>
      <c r="E35" s="639"/>
      <c r="F35" s="273" t="str">
        <f>IF(OR(('P5 Dis. Residual'!Q37=F34),('P5 Dis. Residual'!R37=F34)),"Yes","No")</f>
        <v>No</v>
      </c>
      <c r="G35" s="642"/>
      <c r="H35" s="136" t="s">
        <v>497</v>
      </c>
      <c r="I35" s="639"/>
      <c r="J35" s="25"/>
      <c r="K35" s="269">
        <f>'P5 Dis. Residual'!P42</f>
        <v>0</v>
      </c>
      <c r="L35" s="1052"/>
      <c r="M35" s="1061" t="s">
        <v>123</v>
      </c>
      <c r="N35" s="642"/>
    </row>
    <row r="36" spans="1:14" s="20" customFormat="1" ht="15" customHeight="1">
      <c r="A36" s="706"/>
      <c r="B36" s="1055" t="s">
        <v>498</v>
      </c>
      <c r="C36" s="642"/>
      <c r="D36" s="642"/>
      <c r="E36" s="639"/>
      <c r="F36" s="26"/>
      <c r="G36" s="642"/>
      <c r="H36" s="29" t="s">
        <v>499</v>
      </c>
      <c r="I36" s="639"/>
      <c r="J36" s="642"/>
      <c r="K36" s="640"/>
      <c r="L36" s="1052"/>
      <c r="M36" s="135"/>
      <c r="N36" s="642"/>
    </row>
    <row r="37" spans="1:14" s="20" customFormat="1" ht="15" customHeight="1" thickBot="1">
      <c r="A37" s="706"/>
      <c r="B37" s="136" t="s">
        <v>500</v>
      </c>
      <c r="C37" s="26"/>
      <c r="D37" s="26"/>
      <c r="E37" s="639"/>
      <c r="F37" s="267">
        <f>'P5 Dis. Residual'!E42</f>
        <v>0</v>
      </c>
      <c r="G37" s="642"/>
      <c r="H37" s="136" t="s">
        <v>501</v>
      </c>
      <c r="I37" s="639"/>
      <c r="J37" s="25"/>
      <c r="K37" s="269">
        <f>'P5 Dis. Residual'!P43</f>
        <v>0</v>
      </c>
      <c r="L37" s="1052"/>
      <c r="M37" s="135"/>
      <c r="N37" s="642"/>
    </row>
    <row r="38" spans="1:14" s="20" customFormat="1" ht="15" customHeight="1" thickBot="1">
      <c r="A38" s="706"/>
      <c r="B38" s="136" t="s">
        <v>502</v>
      </c>
      <c r="C38" s="26"/>
      <c r="D38" s="26"/>
      <c r="E38" s="639"/>
      <c r="F38" s="267">
        <f>'P5 Dis. Residual'!E43</f>
        <v>0</v>
      </c>
      <c r="G38" s="29"/>
      <c r="H38" s="135" t="s">
        <v>503</v>
      </c>
      <c r="I38" s="639"/>
      <c r="J38" s="639"/>
      <c r="K38" s="640"/>
      <c r="L38" s="1052"/>
      <c r="M38" s="135"/>
      <c r="N38" s="642"/>
    </row>
    <row r="39" spans="1:14" s="20" customFormat="1" ht="15" customHeight="1" thickBot="1">
      <c r="A39" s="706"/>
      <c r="B39" s="135" t="s">
        <v>504</v>
      </c>
      <c r="C39" s="639"/>
      <c r="D39" s="639"/>
      <c r="E39" s="639"/>
      <c r="F39" s="268">
        <f>'P5 Dis. Residual'!J42</f>
        <v>0</v>
      </c>
      <c r="G39" s="639"/>
      <c r="H39" s="641" t="s">
        <v>505</v>
      </c>
      <c r="I39" s="642"/>
      <c r="J39" s="642"/>
      <c r="K39" s="269">
        <f>'P5 Dis. Residual'!R37</f>
        <v>0</v>
      </c>
      <c r="L39" s="1052"/>
      <c r="M39" s="135"/>
      <c r="N39" s="642"/>
    </row>
    <row r="40" spans="1:14" s="20" customFormat="1" ht="15" customHeight="1" thickBot="1">
      <c r="A40" s="706"/>
      <c r="B40" s="135" t="s">
        <v>506</v>
      </c>
      <c r="C40" s="639"/>
      <c r="D40" s="639"/>
      <c r="E40" s="639"/>
      <c r="F40" s="268">
        <f>'P5 Dis. Residual'!J43</f>
        <v>0</v>
      </c>
      <c r="G40" s="642"/>
      <c r="H40" s="641" t="s">
        <v>507</v>
      </c>
      <c r="I40" s="642"/>
      <c r="J40" s="639"/>
      <c r="K40" s="269">
        <f>'P5 Dis. Residual'!Q37</f>
        <v>0</v>
      </c>
      <c r="L40" s="1052"/>
      <c r="M40" s="135"/>
      <c r="N40" s="642"/>
    </row>
    <row r="41" spans="1:14" s="20" customFormat="1" ht="18" customHeight="1">
      <c r="A41" s="690"/>
      <c r="B41" s="691"/>
      <c r="C41" s="691"/>
      <c r="D41" s="691"/>
      <c r="E41" s="691"/>
      <c r="F41" s="691"/>
      <c r="G41" s="691"/>
      <c r="H41" s="691"/>
      <c r="I41" s="691"/>
      <c r="J41" s="691"/>
      <c r="K41" s="692"/>
      <c r="L41" s="1052"/>
      <c r="M41" s="135"/>
      <c r="N41" s="642"/>
    </row>
    <row r="42" spans="1:14" s="20" customFormat="1" ht="15" customHeight="1">
      <c r="A42" s="1017"/>
      <c r="B42" s="1017"/>
      <c r="C42" s="1017"/>
      <c r="D42" s="1017"/>
      <c r="E42" s="1017"/>
      <c r="F42" s="1017"/>
      <c r="G42" s="1017"/>
      <c r="H42" s="1017"/>
      <c r="I42" s="1017"/>
      <c r="J42" s="1017"/>
      <c r="K42" s="1574">
        <f>PWSID</f>
        <v>0</v>
      </c>
      <c r="L42" s="1052"/>
      <c r="M42" s="965"/>
      <c r="N42" s="168">
        <f>PWSID</f>
        <v>0</v>
      </c>
    </row>
    <row r="43" spans="1:14" s="20" customFormat="1" ht="15" customHeight="1">
      <c r="A43" s="1052"/>
      <c r="B43" s="1052"/>
      <c r="C43" s="1017"/>
      <c r="D43" s="1017"/>
      <c r="E43" s="1017"/>
      <c r="F43" s="1017"/>
      <c r="G43" s="1017"/>
      <c r="H43" s="1052"/>
      <c r="I43" s="1017"/>
      <c r="J43" s="1017"/>
      <c r="K43" s="1574" t="str">
        <f>MMYYYY</f>
        <v>05/2025</v>
      </c>
      <c r="L43" s="1052"/>
      <c r="M43" s="135"/>
      <c r="N43" s="642"/>
    </row>
    <row r="44" spans="1:14" s="20" customFormat="1" ht="9" customHeight="1">
      <c r="A44" s="1052"/>
      <c r="B44" s="1052"/>
      <c r="C44" s="1017"/>
      <c r="D44" s="1017"/>
      <c r="E44" s="1017"/>
      <c r="F44" s="1017"/>
      <c r="G44" s="1053"/>
      <c r="H44" s="1017"/>
      <c r="I44" s="1017"/>
      <c r="J44" s="1017"/>
      <c r="K44" s="1017"/>
      <c r="L44" s="1052"/>
      <c r="M44" s="135"/>
      <c r="N44" s="642"/>
    </row>
    <row r="45" spans="1:14" s="20" customFormat="1" ht="15" customHeight="1">
      <c r="A45" s="639"/>
      <c r="B45" s="135"/>
      <c r="C45" s="639"/>
      <c r="D45" s="639"/>
      <c r="E45" s="639"/>
      <c r="F45" s="639"/>
      <c r="G45" s="639"/>
      <c r="H45" s="639"/>
      <c r="I45" s="639"/>
      <c r="J45" s="639"/>
      <c r="K45" s="639"/>
      <c r="L45" s="135"/>
      <c r="M45" s="135"/>
      <c r="N45" s="642"/>
    </row>
    <row r="46" spans="1:14" s="20" customFormat="1" ht="15" customHeight="1">
      <c r="A46" s="639"/>
      <c r="B46" s="639"/>
      <c r="C46" s="639"/>
      <c r="D46" s="639"/>
      <c r="E46" s="639"/>
      <c r="F46" s="639"/>
      <c r="G46" s="639"/>
      <c r="H46" s="639"/>
      <c r="I46" s="639"/>
      <c r="J46" s="639"/>
      <c r="K46" s="639"/>
      <c r="L46" s="135"/>
      <c r="M46" s="135"/>
      <c r="N46" s="642"/>
    </row>
    <row r="47" spans="1:14" s="20" customFormat="1" ht="15" customHeight="1">
      <c r="A47" s="639"/>
      <c r="B47" s="639"/>
      <c r="C47" s="639"/>
      <c r="D47" s="639"/>
      <c r="E47" s="639"/>
      <c r="F47" s="639"/>
      <c r="G47" s="639"/>
      <c r="H47" s="639"/>
      <c r="I47" s="639"/>
      <c r="J47" s="639"/>
      <c r="K47" s="639"/>
      <c r="L47" s="135"/>
      <c r="M47" s="135"/>
      <c r="N47" s="642"/>
    </row>
    <row r="48" spans="1:14" s="20" customFormat="1" ht="15" customHeight="1">
      <c r="A48" s="639"/>
      <c r="B48" s="639"/>
      <c r="C48" s="639"/>
      <c r="D48" s="639"/>
      <c r="E48" s="639"/>
      <c r="F48" s="639"/>
      <c r="G48" s="639"/>
      <c r="H48" s="639"/>
      <c r="I48" s="639"/>
      <c r="J48" s="639"/>
      <c r="K48" s="639"/>
      <c r="L48" s="135"/>
      <c r="M48" s="135"/>
      <c r="N48" s="642"/>
    </row>
    <row r="49" spans="1:13" s="20" customFormat="1" ht="15" customHeight="1">
      <c r="A49" s="665"/>
      <c r="B49" s="665"/>
      <c r="C49" s="665"/>
      <c r="D49" s="665"/>
      <c r="E49" s="665"/>
      <c r="F49" s="665"/>
      <c r="G49" s="665"/>
      <c r="H49" s="665"/>
      <c r="I49" s="665"/>
      <c r="J49" s="665"/>
      <c r="K49" s="665"/>
      <c r="L49" s="135"/>
      <c r="M49" s="135"/>
    </row>
    <row r="50" spans="1:13" ht="15" customHeight="1">
      <c r="A50" s="665"/>
      <c r="B50" s="665"/>
      <c r="C50" s="665"/>
      <c r="D50" s="665"/>
      <c r="E50" s="665"/>
      <c r="F50" s="665"/>
      <c r="G50" s="665"/>
      <c r="H50" s="665"/>
      <c r="I50" s="665"/>
      <c r="J50" s="665"/>
      <c r="K50" s="665"/>
    </row>
    <row r="51" spans="1:13" ht="15" customHeight="1">
      <c r="A51" s="665"/>
      <c r="B51" s="665"/>
      <c r="C51" s="665"/>
      <c r="D51" s="665"/>
      <c r="E51" s="665"/>
      <c r="F51" s="665"/>
      <c r="G51" s="665"/>
      <c r="H51" s="665"/>
      <c r="I51" s="665"/>
      <c r="J51" s="665"/>
      <c r="K51" s="665"/>
    </row>
    <row r="52" spans="1:13" ht="39" customHeight="1">
      <c r="A52" s="280"/>
      <c r="B52" s="280"/>
      <c r="C52" s="280"/>
      <c r="D52" s="280"/>
      <c r="E52" s="280"/>
      <c r="F52" s="280"/>
      <c r="G52" s="280"/>
      <c r="H52" s="280"/>
      <c r="I52" s="280"/>
      <c r="J52" s="280"/>
      <c r="K52" s="280"/>
    </row>
    <row r="53" spans="1:13" ht="54.6" customHeight="1">
      <c r="A53" s="1525"/>
      <c r="B53" s="1525"/>
      <c r="C53" s="1525"/>
      <c r="D53" s="1525"/>
      <c r="E53" s="1525"/>
      <c r="F53" s="1525"/>
      <c r="G53" s="30"/>
      <c r="H53" s="419"/>
      <c r="I53" s="30"/>
      <c r="J53" s="30"/>
      <c r="K53" s="30"/>
    </row>
    <row r="54" spans="1:13" ht="15" customHeight="1">
      <c r="A54" s="1524"/>
      <c r="B54" s="1524"/>
      <c r="C54" s="1524"/>
      <c r="D54" s="1524"/>
      <c r="E54" s="1524"/>
      <c r="F54" s="1524"/>
      <c r="G54" s="30"/>
      <c r="H54" s="128"/>
      <c r="I54" s="30"/>
      <c r="J54" s="30"/>
      <c r="K54" s="30"/>
    </row>
  </sheetData>
  <sheetProtection algorithmName="SHA-512" hashValue="IFgTcOhkwGTupY1UbsmVhG654icrymJ72dvXutnLmPiQ9tar+3kCarJR0J9fIjQrl+WvsYicVWXOyhreHFTvAw==" saltValue="a/oCbTlXHWvBaPazWvAYag==" spinCount="100000" sheet="1" selectLockedCells="1"/>
  <mergeCells count="6">
    <mergeCell ref="C1:K1"/>
    <mergeCell ref="B29:D29"/>
    <mergeCell ref="A54:F54"/>
    <mergeCell ref="A53:F53"/>
    <mergeCell ref="A32:K32"/>
    <mergeCell ref="A31:K31"/>
  </mergeCells>
  <phoneticPr fontId="0" type="noConversion"/>
  <dataValidations count="1">
    <dataValidation type="textLength" operator="equal" allowBlank="1" showErrorMessage="1" errorTitle="INCORRECT ID FORMAT" error="The state code and PWSID must be exactly 9 characters long with NO spaces._x000a_example: KY0012345" prompt="Input the state code and PWSID (9 characters long with no spaces) for the system you have sold water to. " sqref="B4:B28 H4:H28" xr:uid="{00000000-0002-0000-0D00-000000000000}">
      <formula1>9</formula1>
    </dataValidation>
  </dataValidations>
  <hyperlinks>
    <hyperlink ref="B1" location="Bookmarks!A1" display="Return to Bookmarks" xr:uid="{E5F60946-89D6-4D39-B167-E7AD3613BFC3}"/>
  </hyperlinks>
  <printOptions horizontalCentered="1" verticalCentered="1"/>
  <pageMargins left="1" right="0.25" top="0.5" bottom="0.5" header="0.25" footer="0"/>
  <pageSetup scale="85" fitToHeight="0" orientation="portrait" r:id="rId1"/>
  <headerFooter alignWithMargins="0">
    <oddHeader>&amp;LMonthly Operating Report
Water System Summary</oddHeader>
  </headerFooter>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sheetPr>
  <dimension ref="A1:X40"/>
  <sheetViews>
    <sheetView showGridLines="0" zoomScaleNormal="100" workbookViewId="0">
      <pane xSplit="1" ySplit="4" topLeftCell="B5" activePane="bottomRight" state="frozen"/>
      <selection pane="topRight" activeCell="B1" sqref="B1"/>
      <selection pane="bottomLeft" activeCell="A4" sqref="A4"/>
      <selection pane="bottomRight" activeCell="D3" sqref="D3:E3"/>
    </sheetView>
  </sheetViews>
  <sheetFormatPr defaultRowHeight="12.75"/>
  <cols>
    <col min="1" max="1" width="8.7109375" customWidth="1"/>
    <col min="2" max="3" width="10.28515625" customWidth="1"/>
    <col min="4" max="23" width="15.7109375" customWidth="1"/>
    <col min="24" max="24" width="2" customWidth="1"/>
  </cols>
  <sheetData>
    <row r="1" spans="1:24" ht="28.9" customHeight="1">
      <c r="A1" s="1083" t="s">
        <v>730</v>
      </c>
      <c r="B1" s="1098" t="s">
        <v>508</v>
      </c>
      <c r="C1" s="1093"/>
      <c r="D1" s="1093"/>
      <c r="E1" s="1093"/>
      <c r="F1" s="1093"/>
      <c r="G1" s="1093"/>
      <c r="H1" s="1093"/>
      <c r="I1" s="1093"/>
      <c r="J1" s="1093"/>
      <c r="K1" s="1093"/>
      <c r="L1" s="1093"/>
      <c r="M1" s="1093"/>
      <c r="N1" s="1093"/>
      <c r="O1" s="1093"/>
      <c r="P1" s="1093"/>
      <c r="Q1" s="1093"/>
      <c r="R1" s="1093"/>
      <c r="S1" s="1093"/>
      <c r="T1" s="1093"/>
      <c r="U1" s="1093"/>
      <c r="V1" s="1093"/>
      <c r="W1" s="1093"/>
      <c r="X1" s="791"/>
    </row>
    <row r="2" spans="1:24" ht="16.899999999999999" customHeight="1">
      <c r="A2" s="877"/>
      <c r="B2" s="1526" t="s">
        <v>705</v>
      </c>
      <c r="C2" s="1529" t="s">
        <v>706</v>
      </c>
      <c r="D2" s="1532" t="s">
        <v>613</v>
      </c>
      <c r="E2" s="1533"/>
      <c r="F2" s="1533"/>
      <c r="G2" s="1533"/>
      <c r="H2" s="1533"/>
      <c r="I2" s="1533"/>
      <c r="J2" s="1533"/>
      <c r="K2" s="1533"/>
      <c r="L2" s="1533"/>
      <c r="M2" s="1533"/>
      <c r="N2" s="1533"/>
      <c r="O2" s="1533"/>
      <c r="P2" s="1533"/>
      <c r="Q2" s="1533"/>
      <c r="R2" s="1533"/>
      <c r="S2" s="1533"/>
      <c r="T2" s="1533"/>
      <c r="U2" s="1533"/>
      <c r="V2" s="1533"/>
      <c r="W2" s="1534"/>
      <c r="X2" s="791"/>
    </row>
    <row r="3" spans="1:24" ht="19.899999999999999" customHeight="1">
      <c r="A3" s="877"/>
      <c r="B3" s="1527"/>
      <c r="C3" s="1529"/>
      <c r="D3" s="1530" t="s">
        <v>614</v>
      </c>
      <c r="E3" s="1531"/>
      <c r="F3" s="1535" t="s">
        <v>614</v>
      </c>
      <c r="G3" s="1531"/>
      <c r="H3" s="1530" t="s">
        <v>614</v>
      </c>
      <c r="I3" s="1531"/>
      <c r="J3" s="1530" t="s">
        <v>614</v>
      </c>
      <c r="K3" s="1531"/>
      <c r="L3" s="1530" t="s">
        <v>614</v>
      </c>
      <c r="M3" s="1531"/>
      <c r="N3" s="1530" t="s">
        <v>614</v>
      </c>
      <c r="O3" s="1531"/>
      <c r="P3" s="1530" t="s">
        <v>614</v>
      </c>
      <c r="Q3" s="1531"/>
      <c r="R3" s="1530" t="s">
        <v>614</v>
      </c>
      <c r="S3" s="1531"/>
      <c r="T3" s="1530" t="s">
        <v>614</v>
      </c>
      <c r="U3" s="1531"/>
      <c r="V3" s="1530" t="s">
        <v>614</v>
      </c>
      <c r="W3" s="1531"/>
      <c r="X3" s="791"/>
    </row>
    <row r="4" spans="1:24" ht="27.75" customHeight="1" thickBot="1">
      <c r="A4" s="879" t="s">
        <v>58</v>
      </c>
      <c r="B4" s="1528"/>
      <c r="C4" s="1429"/>
      <c r="D4" s="1062" t="s">
        <v>611</v>
      </c>
      <c r="E4" s="1063" t="s">
        <v>612</v>
      </c>
      <c r="F4" s="1062" t="s">
        <v>611</v>
      </c>
      <c r="G4" s="1064" t="s">
        <v>612</v>
      </c>
      <c r="H4" s="1062" t="s">
        <v>611</v>
      </c>
      <c r="I4" s="1063" t="s">
        <v>612</v>
      </c>
      <c r="J4" s="1062" t="s">
        <v>611</v>
      </c>
      <c r="K4" s="1063" t="s">
        <v>612</v>
      </c>
      <c r="L4" s="1062" t="s">
        <v>611</v>
      </c>
      <c r="M4" s="1063" t="s">
        <v>612</v>
      </c>
      <c r="N4" s="1062" t="s">
        <v>611</v>
      </c>
      <c r="O4" s="1063" t="s">
        <v>612</v>
      </c>
      <c r="P4" s="1062" t="s">
        <v>611</v>
      </c>
      <c r="Q4" s="1063" t="s">
        <v>612</v>
      </c>
      <c r="R4" s="1062" t="s">
        <v>611</v>
      </c>
      <c r="S4" s="1063" t="s">
        <v>612</v>
      </c>
      <c r="T4" s="1062" t="s">
        <v>611</v>
      </c>
      <c r="U4" s="1063" t="s">
        <v>612</v>
      </c>
      <c r="V4" s="1062" t="s">
        <v>611</v>
      </c>
      <c r="W4" s="1063" t="s">
        <v>612</v>
      </c>
      <c r="X4" s="791"/>
    </row>
    <row r="5" spans="1:24" ht="15.75">
      <c r="A5" s="240">
        <v>1</v>
      </c>
      <c r="B5" s="1120">
        <f>D5+F5+H5+J5+L5+N5+P5+R5+T5+V5</f>
        <v>0</v>
      </c>
      <c r="C5" s="1120">
        <f>E5+G5+I5+K5+M5+O5+Q5+S5+U5+W5</f>
        <v>0</v>
      </c>
      <c r="D5" s="421"/>
      <c r="E5" s="716"/>
      <c r="F5" s="713"/>
      <c r="G5" s="716"/>
      <c r="H5" s="421"/>
      <c r="I5" s="716"/>
      <c r="J5" s="421"/>
      <c r="K5" s="716"/>
      <c r="L5" s="421"/>
      <c r="M5" s="716"/>
      <c r="N5" s="421"/>
      <c r="O5" s="716"/>
      <c r="P5" s="421"/>
      <c r="Q5" s="716"/>
      <c r="R5" s="421"/>
      <c r="S5" s="716"/>
      <c r="T5" s="421"/>
      <c r="U5" s="716"/>
      <c r="V5" s="421"/>
      <c r="W5" s="716"/>
      <c r="X5" s="791"/>
    </row>
    <row r="6" spans="1:24" ht="15.75">
      <c r="A6" s="240">
        <v>2</v>
      </c>
      <c r="B6" s="1120">
        <f t="shared" ref="B6:C35" si="0">D6+F6+H6+J6+L6+N6+P6+R6+T6+V6</f>
        <v>0</v>
      </c>
      <c r="C6" s="1120">
        <f t="shared" si="0"/>
        <v>0</v>
      </c>
      <c r="D6" s="422"/>
      <c r="E6" s="717"/>
      <c r="F6" s="714"/>
      <c r="G6" s="717"/>
      <c r="H6" s="422"/>
      <c r="I6" s="717"/>
      <c r="J6" s="422"/>
      <c r="K6" s="717"/>
      <c r="L6" s="422"/>
      <c r="M6" s="717"/>
      <c r="N6" s="422"/>
      <c r="O6" s="717"/>
      <c r="P6" s="422"/>
      <c r="Q6" s="717"/>
      <c r="R6" s="422"/>
      <c r="S6" s="717"/>
      <c r="T6" s="422"/>
      <c r="U6" s="717"/>
      <c r="V6" s="422"/>
      <c r="W6" s="717"/>
      <c r="X6" s="791"/>
    </row>
    <row r="7" spans="1:24" ht="15.75">
      <c r="A7" s="240">
        <v>3</v>
      </c>
      <c r="B7" s="1120">
        <f t="shared" si="0"/>
        <v>0</v>
      </c>
      <c r="C7" s="1120">
        <f t="shared" si="0"/>
        <v>0</v>
      </c>
      <c r="D7" s="422"/>
      <c r="E7" s="717"/>
      <c r="F7" s="714"/>
      <c r="G7" s="717"/>
      <c r="H7" s="422"/>
      <c r="I7" s="717"/>
      <c r="J7" s="422"/>
      <c r="K7" s="717"/>
      <c r="L7" s="422"/>
      <c r="M7" s="717"/>
      <c r="N7" s="422"/>
      <c r="O7" s="717"/>
      <c r="P7" s="422"/>
      <c r="Q7" s="717"/>
      <c r="R7" s="422"/>
      <c r="S7" s="717"/>
      <c r="T7" s="422"/>
      <c r="U7" s="717"/>
      <c r="V7" s="422"/>
      <c r="W7" s="717"/>
      <c r="X7" s="791"/>
    </row>
    <row r="8" spans="1:24" ht="15.75">
      <c r="A8" s="240">
        <v>4</v>
      </c>
      <c r="B8" s="1120">
        <f t="shared" si="0"/>
        <v>0</v>
      </c>
      <c r="C8" s="1120">
        <f t="shared" si="0"/>
        <v>0</v>
      </c>
      <c r="D8" s="422"/>
      <c r="E8" s="717"/>
      <c r="F8" s="714"/>
      <c r="G8" s="717"/>
      <c r="H8" s="422"/>
      <c r="I8" s="717"/>
      <c r="J8" s="422"/>
      <c r="K8" s="717"/>
      <c r="L8" s="422"/>
      <c r="M8" s="717"/>
      <c r="N8" s="422"/>
      <c r="O8" s="717"/>
      <c r="P8" s="422"/>
      <c r="Q8" s="717"/>
      <c r="R8" s="422"/>
      <c r="S8" s="717"/>
      <c r="T8" s="422"/>
      <c r="U8" s="717"/>
      <c r="V8" s="422"/>
      <c r="W8" s="717"/>
      <c r="X8" s="791"/>
    </row>
    <row r="9" spans="1:24" ht="15.75">
      <c r="A9" s="240">
        <v>5</v>
      </c>
      <c r="B9" s="1120">
        <f t="shared" si="0"/>
        <v>0</v>
      </c>
      <c r="C9" s="1120">
        <f t="shared" si="0"/>
        <v>0</v>
      </c>
      <c r="D9" s="422"/>
      <c r="E9" s="717"/>
      <c r="F9" s="714"/>
      <c r="G9" s="717"/>
      <c r="H9" s="422"/>
      <c r="I9" s="717"/>
      <c r="J9" s="422"/>
      <c r="K9" s="717"/>
      <c r="L9" s="422"/>
      <c r="M9" s="717"/>
      <c r="N9" s="422"/>
      <c r="O9" s="717"/>
      <c r="P9" s="422"/>
      <c r="Q9" s="717"/>
      <c r="R9" s="422"/>
      <c r="S9" s="717"/>
      <c r="T9" s="422"/>
      <c r="U9" s="717"/>
      <c r="V9" s="422"/>
      <c r="W9" s="717"/>
      <c r="X9" s="791"/>
    </row>
    <row r="10" spans="1:24" ht="15.75">
      <c r="A10" s="240">
        <v>6</v>
      </c>
      <c r="B10" s="1120">
        <f t="shared" si="0"/>
        <v>0</v>
      </c>
      <c r="C10" s="1120">
        <f t="shared" si="0"/>
        <v>0</v>
      </c>
      <c r="D10" s="422"/>
      <c r="E10" s="717"/>
      <c r="F10" s="714"/>
      <c r="G10" s="717"/>
      <c r="H10" s="422"/>
      <c r="I10" s="717"/>
      <c r="J10" s="422"/>
      <c r="K10" s="717"/>
      <c r="L10" s="422"/>
      <c r="M10" s="717"/>
      <c r="N10" s="422"/>
      <c r="O10" s="717"/>
      <c r="P10" s="422"/>
      <c r="Q10" s="717"/>
      <c r="R10" s="422"/>
      <c r="S10" s="717"/>
      <c r="T10" s="422"/>
      <c r="U10" s="717"/>
      <c r="V10" s="422"/>
      <c r="W10" s="717"/>
      <c r="X10" s="791"/>
    </row>
    <row r="11" spans="1:24" ht="15.75">
      <c r="A11" s="240">
        <v>7</v>
      </c>
      <c r="B11" s="1120">
        <f t="shared" si="0"/>
        <v>0</v>
      </c>
      <c r="C11" s="1120">
        <f t="shared" si="0"/>
        <v>0</v>
      </c>
      <c r="D11" s="422"/>
      <c r="E11" s="717"/>
      <c r="F11" s="714"/>
      <c r="G11" s="717"/>
      <c r="H11" s="422"/>
      <c r="I11" s="717"/>
      <c r="J11" s="422"/>
      <c r="K11" s="717"/>
      <c r="L11" s="422"/>
      <c r="M11" s="717"/>
      <c r="N11" s="422"/>
      <c r="O11" s="717"/>
      <c r="P11" s="422"/>
      <c r="Q11" s="717"/>
      <c r="R11" s="422"/>
      <c r="S11" s="717"/>
      <c r="T11" s="422"/>
      <c r="U11" s="717"/>
      <c r="V11" s="422"/>
      <c r="W11" s="717"/>
      <c r="X11" s="791"/>
    </row>
    <row r="12" spans="1:24" ht="15.75">
      <c r="A12" s="240">
        <v>8</v>
      </c>
      <c r="B12" s="1120">
        <f t="shared" si="0"/>
        <v>0</v>
      </c>
      <c r="C12" s="1120">
        <f t="shared" si="0"/>
        <v>0</v>
      </c>
      <c r="D12" s="422"/>
      <c r="E12" s="717"/>
      <c r="F12" s="714"/>
      <c r="G12" s="717"/>
      <c r="H12" s="422"/>
      <c r="I12" s="717"/>
      <c r="J12" s="422"/>
      <c r="K12" s="717"/>
      <c r="L12" s="422"/>
      <c r="M12" s="717"/>
      <c r="N12" s="422"/>
      <c r="O12" s="717"/>
      <c r="P12" s="422"/>
      <c r="Q12" s="717"/>
      <c r="R12" s="422"/>
      <c r="S12" s="717"/>
      <c r="T12" s="422"/>
      <c r="U12" s="717"/>
      <c r="V12" s="422"/>
      <c r="W12" s="717"/>
      <c r="X12" s="791"/>
    </row>
    <row r="13" spans="1:24" ht="15.75">
      <c r="A13" s="240">
        <v>9</v>
      </c>
      <c r="B13" s="1120">
        <f t="shared" si="0"/>
        <v>0</v>
      </c>
      <c r="C13" s="1120">
        <f t="shared" si="0"/>
        <v>0</v>
      </c>
      <c r="D13" s="422"/>
      <c r="E13" s="717"/>
      <c r="F13" s="714"/>
      <c r="G13" s="717"/>
      <c r="H13" s="422"/>
      <c r="I13" s="717"/>
      <c r="J13" s="422"/>
      <c r="K13" s="717"/>
      <c r="L13" s="422"/>
      <c r="M13" s="717"/>
      <c r="N13" s="422"/>
      <c r="O13" s="717"/>
      <c r="P13" s="422"/>
      <c r="Q13" s="717"/>
      <c r="R13" s="422"/>
      <c r="S13" s="717"/>
      <c r="T13" s="422"/>
      <c r="U13" s="717"/>
      <c r="V13" s="422"/>
      <c r="W13" s="717"/>
      <c r="X13" s="791"/>
    </row>
    <row r="14" spans="1:24" ht="15.75">
      <c r="A14" s="240">
        <v>10</v>
      </c>
      <c r="B14" s="1120">
        <f t="shared" si="0"/>
        <v>0</v>
      </c>
      <c r="C14" s="1120">
        <f t="shared" si="0"/>
        <v>0</v>
      </c>
      <c r="D14" s="422"/>
      <c r="E14" s="717"/>
      <c r="F14" s="714"/>
      <c r="G14" s="717"/>
      <c r="H14" s="422"/>
      <c r="I14" s="717"/>
      <c r="J14" s="422"/>
      <c r="K14" s="717"/>
      <c r="L14" s="422"/>
      <c r="M14" s="717"/>
      <c r="N14" s="422"/>
      <c r="O14" s="717"/>
      <c r="P14" s="422"/>
      <c r="Q14" s="717"/>
      <c r="R14" s="422"/>
      <c r="S14" s="717"/>
      <c r="T14" s="422"/>
      <c r="U14" s="717"/>
      <c r="V14" s="422"/>
      <c r="W14" s="717"/>
      <c r="X14" s="791"/>
    </row>
    <row r="15" spans="1:24" ht="15.75">
      <c r="A15" s="240">
        <v>11</v>
      </c>
      <c r="B15" s="1120">
        <f t="shared" si="0"/>
        <v>0</v>
      </c>
      <c r="C15" s="1120">
        <f t="shared" si="0"/>
        <v>0</v>
      </c>
      <c r="D15" s="422"/>
      <c r="E15" s="717"/>
      <c r="F15" s="714"/>
      <c r="G15" s="717"/>
      <c r="H15" s="422"/>
      <c r="I15" s="717"/>
      <c r="J15" s="422"/>
      <c r="K15" s="717"/>
      <c r="L15" s="422"/>
      <c r="M15" s="717"/>
      <c r="N15" s="422"/>
      <c r="O15" s="717"/>
      <c r="P15" s="422"/>
      <c r="Q15" s="717"/>
      <c r="R15" s="422"/>
      <c r="S15" s="717"/>
      <c r="T15" s="422"/>
      <c r="U15" s="717"/>
      <c r="V15" s="422"/>
      <c r="W15" s="717"/>
      <c r="X15" s="791"/>
    </row>
    <row r="16" spans="1:24" ht="15.75">
      <c r="A16" s="240">
        <v>12</v>
      </c>
      <c r="B16" s="1120">
        <f t="shared" si="0"/>
        <v>0</v>
      </c>
      <c r="C16" s="1120">
        <f t="shared" si="0"/>
        <v>0</v>
      </c>
      <c r="D16" s="422"/>
      <c r="E16" s="717"/>
      <c r="F16" s="714"/>
      <c r="G16" s="717"/>
      <c r="H16" s="422"/>
      <c r="I16" s="717"/>
      <c r="J16" s="422"/>
      <c r="K16" s="717"/>
      <c r="L16" s="422"/>
      <c r="M16" s="717"/>
      <c r="N16" s="422"/>
      <c r="O16" s="717"/>
      <c r="P16" s="422"/>
      <c r="Q16" s="717"/>
      <c r="R16" s="422"/>
      <c r="S16" s="717"/>
      <c r="T16" s="422"/>
      <c r="U16" s="717"/>
      <c r="V16" s="422"/>
      <c r="W16" s="717"/>
      <c r="X16" s="791"/>
    </row>
    <row r="17" spans="1:24" ht="15.75">
      <c r="A17" s="240">
        <v>13</v>
      </c>
      <c r="B17" s="1120">
        <f t="shared" si="0"/>
        <v>0</v>
      </c>
      <c r="C17" s="1120">
        <f t="shared" si="0"/>
        <v>0</v>
      </c>
      <c r="D17" s="422"/>
      <c r="E17" s="717"/>
      <c r="F17" s="714"/>
      <c r="G17" s="717"/>
      <c r="H17" s="422"/>
      <c r="I17" s="717"/>
      <c r="J17" s="422"/>
      <c r="K17" s="717"/>
      <c r="L17" s="422"/>
      <c r="M17" s="717"/>
      <c r="N17" s="422"/>
      <c r="O17" s="717"/>
      <c r="P17" s="422"/>
      <c r="Q17" s="717"/>
      <c r="R17" s="422"/>
      <c r="S17" s="717"/>
      <c r="T17" s="422"/>
      <c r="U17" s="717"/>
      <c r="V17" s="422"/>
      <c r="W17" s="717"/>
      <c r="X17" s="791"/>
    </row>
    <row r="18" spans="1:24" ht="15.75">
      <c r="A18" s="240">
        <v>14</v>
      </c>
      <c r="B18" s="1120">
        <f t="shared" si="0"/>
        <v>0</v>
      </c>
      <c r="C18" s="1120">
        <f t="shared" si="0"/>
        <v>0</v>
      </c>
      <c r="D18" s="422"/>
      <c r="E18" s="717"/>
      <c r="F18" s="714"/>
      <c r="G18" s="717"/>
      <c r="H18" s="422"/>
      <c r="I18" s="717"/>
      <c r="J18" s="422"/>
      <c r="K18" s="717"/>
      <c r="L18" s="422"/>
      <c r="M18" s="717"/>
      <c r="N18" s="422"/>
      <c r="O18" s="717"/>
      <c r="P18" s="422"/>
      <c r="Q18" s="717"/>
      <c r="R18" s="422"/>
      <c r="S18" s="717"/>
      <c r="T18" s="422"/>
      <c r="U18" s="717"/>
      <c r="V18" s="422"/>
      <c r="W18" s="717"/>
      <c r="X18" s="791"/>
    </row>
    <row r="19" spans="1:24" ht="15.75">
      <c r="A19" s="240">
        <v>15</v>
      </c>
      <c r="B19" s="1120">
        <f t="shared" si="0"/>
        <v>0</v>
      </c>
      <c r="C19" s="1120">
        <f t="shared" si="0"/>
        <v>0</v>
      </c>
      <c r="D19" s="422"/>
      <c r="E19" s="717"/>
      <c r="F19" s="714"/>
      <c r="G19" s="717"/>
      <c r="H19" s="422"/>
      <c r="I19" s="717"/>
      <c r="J19" s="422"/>
      <c r="K19" s="717"/>
      <c r="L19" s="422"/>
      <c r="M19" s="717"/>
      <c r="N19" s="422"/>
      <c r="O19" s="717"/>
      <c r="P19" s="422"/>
      <c r="Q19" s="717"/>
      <c r="R19" s="422"/>
      <c r="S19" s="717"/>
      <c r="T19" s="422"/>
      <c r="U19" s="717"/>
      <c r="V19" s="422"/>
      <c r="W19" s="717"/>
      <c r="X19" s="791"/>
    </row>
    <row r="20" spans="1:24" ht="15.75">
      <c r="A20" s="240">
        <v>16</v>
      </c>
      <c r="B20" s="1120">
        <f t="shared" si="0"/>
        <v>0</v>
      </c>
      <c r="C20" s="1120">
        <f t="shared" si="0"/>
        <v>0</v>
      </c>
      <c r="D20" s="422"/>
      <c r="E20" s="717"/>
      <c r="F20" s="714"/>
      <c r="G20" s="717"/>
      <c r="H20" s="422"/>
      <c r="I20" s="717"/>
      <c r="J20" s="422"/>
      <c r="K20" s="717"/>
      <c r="L20" s="422"/>
      <c r="M20" s="717"/>
      <c r="N20" s="422"/>
      <c r="O20" s="717"/>
      <c r="P20" s="422"/>
      <c r="Q20" s="717"/>
      <c r="R20" s="422"/>
      <c r="S20" s="717"/>
      <c r="T20" s="422"/>
      <c r="U20" s="717"/>
      <c r="V20" s="422"/>
      <c r="W20" s="717"/>
      <c r="X20" s="791"/>
    </row>
    <row r="21" spans="1:24" ht="15.75">
      <c r="A21" s="240">
        <v>17</v>
      </c>
      <c r="B21" s="1120">
        <f t="shared" si="0"/>
        <v>0</v>
      </c>
      <c r="C21" s="1120">
        <f t="shared" si="0"/>
        <v>0</v>
      </c>
      <c r="D21" s="422"/>
      <c r="E21" s="717"/>
      <c r="F21" s="714"/>
      <c r="G21" s="717"/>
      <c r="H21" s="422"/>
      <c r="I21" s="717"/>
      <c r="J21" s="422"/>
      <c r="K21" s="717"/>
      <c r="L21" s="422"/>
      <c r="M21" s="717"/>
      <c r="N21" s="422"/>
      <c r="O21" s="717"/>
      <c r="P21" s="422"/>
      <c r="Q21" s="717"/>
      <c r="R21" s="422"/>
      <c r="S21" s="717"/>
      <c r="T21" s="422"/>
      <c r="U21" s="717"/>
      <c r="V21" s="422"/>
      <c r="W21" s="717"/>
      <c r="X21" s="791"/>
    </row>
    <row r="22" spans="1:24" ht="15.75">
      <c r="A22" s="240">
        <v>18</v>
      </c>
      <c r="B22" s="1120">
        <f t="shared" si="0"/>
        <v>0</v>
      </c>
      <c r="C22" s="1120">
        <f t="shared" si="0"/>
        <v>0</v>
      </c>
      <c r="D22" s="422"/>
      <c r="E22" s="717"/>
      <c r="F22" s="714"/>
      <c r="G22" s="717"/>
      <c r="H22" s="422"/>
      <c r="I22" s="717"/>
      <c r="J22" s="422"/>
      <c r="K22" s="717"/>
      <c r="L22" s="422"/>
      <c r="M22" s="717"/>
      <c r="N22" s="422"/>
      <c r="O22" s="717"/>
      <c r="P22" s="422"/>
      <c r="Q22" s="717"/>
      <c r="R22" s="422"/>
      <c r="S22" s="717"/>
      <c r="T22" s="422"/>
      <c r="U22" s="717"/>
      <c r="V22" s="422"/>
      <c r="W22" s="717"/>
      <c r="X22" s="791"/>
    </row>
    <row r="23" spans="1:24" ht="15.75">
      <c r="A23" s="240">
        <v>19</v>
      </c>
      <c r="B23" s="1120">
        <f t="shared" si="0"/>
        <v>0</v>
      </c>
      <c r="C23" s="1120">
        <f t="shared" si="0"/>
        <v>0</v>
      </c>
      <c r="D23" s="422"/>
      <c r="E23" s="717"/>
      <c r="F23" s="714"/>
      <c r="G23" s="717"/>
      <c r="H23" s="422"/>
      <c r="I23" s="717"/>
      <c r="J23" s="422"/>
      <c r="K23" s="717"/>
      <c r="L23" s="422"/>
      <c r="M23" s="717"/>
      <c r="N23" s="422"/>
      <c r="O23" s="717"/>
      <c r="P23" s="422"/>
      <c r="Q23" s="717"/>
      <c r="R23" s="422"/>
      <c r="S23" s="717"/>
      <c r="T23" s="422"/>
      <c r="U23" s="717"/>
      <c r="V23" s="422"/>
      <c r="W23" s="717"/>
      <c r="X23" s="791"/>
    </row>
    <row r="24" spans="1:24" ht="15.75">
      <c r="A24" s="240">
        <v>20</v>
      </c>
      <c r="B24" s="1120">
        <f t="shared" si="0"/>
        <v>0</v>
      </c>
      <c r="C24" s="1120">
        <f t="shared" si="0"/>
        <v>0</v>
      </c>
      <c r="D24" s="422"/>
      <c r="E24" s="717"/>
      <c r="F24" s="714"/>
      <c r="G24" s="717"/>
      <c r="H24" s="422"/>
      <c r="I24" s="717"/>
      <c r="J24" s="422"/>
      <c r="K24" s="717"/>
      <c r="L24" s="422"/>
      <c r="M24" s="717"/>
      <c r="N24" s="422"/>
      <c r="O24" s="717"/>
      <c r="P24" s="422"/>
      <c r="Q24" s="717"/>
      <c r="R24" s="422"/>
      <c r="S24" s="717"/>
      <c r="T24" s="422"/>
      <c r="U24" s="717"/>
      <c r="V24" s="422"/>
      <c r="W24" s="717"/>
      <c r="X24" s="791"/>
    </row>
    <row r="25" spans="1:24" ht="15.75">
      <c r="A25" s="240">
        <v>21</v>
      </c>
      <c r="B25" s="1120">
        <f t="shared" si="0"/>
        <v>0</v>
      </c>
      <c r="C25" s="1120">
        <f t="shared" si="0"/>
        <v>0</v>
      </c>
      <c r="D25" s="422"/>
      <c r="E25" s="717"/>
      <c r="F25" s="714"/>
      <c r="G25" s="717"/>
      <c r="H25" s="422"/>
      <c r="I25" s="717"/>
      <c r="J25" s="422"/>
      <c r="K25" s="717"/>
      <c r="L25" s="422"/>
      <c r="M25" s="717"/>
      <c r="N25" s="422"/>
      <c r="O25" s="717"/>
      <c r="P25" s="422"/>
      <c r="Q25" s="717"/>
      <c r="R25" s="422"/>
      <c r="S25" s="717"/>
      <c r="T25" s="422"/>
      <c r="U25" s="717"/>
      <c r="V25" s="422"/>
      <c r="W25" s="717"/>
      <c r="X25" s="791"/>
    </row>
    <row r="26" spans="1:24" ht="15.75">
      <c r="A26" s="240">
        <v>22</v>
      </c>
      <c r="B26" s="1120">
        <f t="shared" si="0"/>
        <v>0</v>
      </c>
      <c r="C26" s="1120">
        <f t="shared" si="0"/>
        <v>0</v>
      </c>
      <c r="D26" s="422"/>
      <c r="E26" s="717"/>
      <c r="F26" s="714"/>
      <c r="G26" s="717"/>
      <c r="H26" s="422"/>
      <c r="I26" s="717"/>
      <c r="J26" s="422"/>
      <c r="K26" s="717"/>
      <c r="L26" s="422"/>
      <c r="M26" s="717"/>
      <c r="N26" s="422"/>
      <c r="O26" s="717"/>
      <c r="P26" s="422"/>
      <c r="Q26" s="717"/>
      <c r="R26" s="422"/>
      <c r="S26" s="717"/>
      <c r="T26" s="422"/>
      <c r="U26" s="717"/>
      <c r="V26" s="422"/>
      <c r="W26" s="717"/>
      <c r="X26" s="791"/>
    </row>
    <row r="27" spans="1:24" ht="15.75">
      <c r="A27" s="240">
        <v>23</v>
      </c>
      <c r="B27" s="1120">
        <f t="shared" si="0"/>
        <v>0</v>
      </c>
      <c r="C27" s="1120">
        <f t="shared" si="0"/>
        <v>0</v>
      </c>
      <c r="D27" s="422"/>
      <c r="E27" s="717"/>
      <c r="F27" s="714"/>
      <c r="G27" s="717"/>
      <c r="H27" s="422"/>
      <c r="I27" s="717"/>
      <c r="J27" s="422"/>
      <c r="K27" s="717"/>
      <c r="L27" s="422"/>
      <c r="M27" s="717"/>
      <c r="N27" s="422"/>
      <c r="O27" s="717"/>
      <c r="P27" s="422"/>
      <c r="Q27" s="717"/>
      <c r="R27" s="422"/>
      <c r="S27" s="717"/>
      <c r="T27" s="422"/>
      <c r="U27" s="717"/>
      <c r="V27" s="422"/>
      <c r="W27" s="717"/>
      <c r="X27" s="791"/>
    </row>
    <row r="28" spans="1:24" ht="15.75">
      <c r="A28" s="240">
        <v>24</v>
      </c>
      <c r="B28" s="1120">
        <f t="shared" si="0"/>
        <v>0</v>
      </c>
      <c r="C28" s="1120">
        <f t="shared" si="0"/>
        <v>0</v>
      </c>
      <c r="D28" s="422"/>
      <c r="E28" s="717"/>
      <c r="F28" s="714"/>
      <c r="G28" s="717"/>
      <c r="H28" s="422"/>
      <c r="I28" s="717"/>
      <c r="J28" s="422"/>
      <c r="K28" s="717"/>
      <c r="L28" s="422"/>
      <c r="M28" s="717"/>
      <c r="N28" s="422"/>
      <c r="O28" s="717"/>
      <c r="P28" s="422"/>
      <c r="Q28" s="717"/>
      <c r="R28" s="422"/>
      <c r="S28" s="717"/>
      <c r="T28" s="422"/>
      <c r="U28" s="717"/>
      <c r="V28" s="422"/>
      <c r="W28" s="717"/>
      <c r="X28" s="791"/>
    </row>
    <row r="29" spans="1:24" ht="15.75">
      <c r="A29" s="240">
        <v>25</v>
      </c>
      <c r="B29" s="1120">
        <f t="shared" si="0"/>
        <v>0</v>
      </c>
      <c r="C29" s="1120">
        <f t="shared" si="0"/>
        <v>0</v>
      </c>
      <c r="D29" s="422"/>
      <c r="E29" s="717"/>
      <c r="F29" s="714"/>
      <c r="G29" s="717"/>
      <c r="H29" s="422"/>
      <c r="I29" s="717"/>
      <c r="J29" s="422"/>
      <c r="K29" s="717"/>
      <c r="L29" s="422"/>
      <c r="M29" s="717"/>
      <c r="N29" s="422"/>
      <c r="O29" s="717"/>
      <c r="P29" s="422"/>
      <c r="Q29" s="717"/>
      <c r="R29" s="422"/>
      <c r="S29" s="717"/>
      <c r="T29" s="422"/>
      <c r="U29" s="717"/>
      <c r="V29" s="422"/>
      <c r="W29" s="717"/>
      <c r="X29" s="791"/>
    </row>
    <row r="30" spans="1:24" ht="15.75">
      <c r="A30" s="240">
        <v>26</v>
      </c>
      <c r="B30" s="1120">
        <f t="shared" si="0"/>
        <v>0</v>
      </c>
      <c r="C30" s="1120">
        <f t="shared" si="0"/>
        <v>0</v>
      </c>
      <c r="D30" s="422"/>
      <c r="E30" s="717"/>
      <c r="F30" s="714"/>
      <c r="G30" s="717"/>
      <c r="H30" s="422"/>
      <c r="I30" s="717"/>
      <c r="J30" s="422"/>
      <c r="K30" s="717"/>
      <c r="L30" s="422"/>
      <c r="M30" s="717"/>
      <c r="N30" s="422"/>
      <c r="O30" s="717"/>
      <c r="P30" s="422"/>
      <c r="Q30" s="717"/>
      <c r="R30" s="422"/>
      <c r="S30" s="717"/>
      <c r="T30" s="422"/>
      <c r="U30" s="717"/>
      <c r="V30" s="422"/>
      <c r="W30" s="717"/>
      <c r="X30" s="791"/>
    </row>
    <row r="31" spans="1:24" ht="15.75">
      <c r="A31" s="240">
        <v>27</v>
      </c>
      <c r="B31" s="1120">
        <f t="shared" si="0"/>
        <v>0</v>
      </c>
      <c r="C31" s="1120">
        <f t="shared" si="0"/>
        <v>0</v>
      </c>
      <c r="D31" s="422"/>
      <c r="E31" s="717"/>
      <c r="F31" s="714"/>
      <c r="G31" s="717"/>
      <c r="H31" s="422"/>
      <c r="I31" s="717"/>
      <c r="J31" s="422"/>
      <c r="K31" s="717"/>
      <c r="L31" s="422"/>
      <c r="M31" s="717"/>
      <c r="N31" s="422"/>
      <c r="O31" s="717"/>
      <c r="P31" s="422"/>
      <c r="Q31" s="717"/>
      <c r="R31" s="422"/>
      <c r="S31" s="717"/>
      <c r="T31" s="422"/>
      <c r="U31" s="717"/>
      <c r="V31" s="422"/>
      <c r="W31" s="717"/>
      <c r="X31" s="791"/>
    </row>
    <row r="32" spans="1:24" ht="15.75">
      <c r="A32" s="240">
        <v>28</v>
      </c>
      <c r="B32" s="1120">
        <f t="shared" si="0"/>
        <v>0</v>
      </c>
      <c r="C32" s="1120">
        <f t="shared" si="0"/>
        <v>0</v>
      </c>
      <c r="D32" s="422"/>
      <c r="E32" s="717"/>
      <c r="F32" s="714"/>
      <c r="G32" s="717"/>
      <c r="H32" s="422"/>
      <c r="I32" s="717"/>
      <c r="J32" s="422"/>
      <c r="K32" s="717"/>
      <c r="L32" s="422"/>
      <c r="M32" s="717"/>
      <c r="N32" s="422"/>
      <c r="O32" s="717"/>
      <c r="P32" s="422"/>
      <c r="Q32" s="717"/>
      <c r="R32" s="422"/>
      <c r="S32" s="717"/>
      <c r="T32" s="422"/>
      <c r="U32" s="717"/>
      <c r="V32" s="422"/>
      <c r="W32" s="717"/>
      <c r="X32" s="791"/>
    </row>
    <row r="33" spans="1:24" ht="15.75">
      <c r="A33" s="240">
        <v>29</v>
      </c>
      <c r="B33" s="1120">
        <f t="shared" si="0"/>
        <v>0</v>
      </c>
      <c r="C33" s="1120">
        <f t="shared" si="0"/>
        <v>0</v>
      </c>
      <c r="D33" s="422"/>
      <c r="E33" s="717"/>
      <c r="F33" s="714"/>
      <c r="G33" s="717"/>
      <c r="H33" s="422"/>
      <c r="I33" s="717"/>
      <c r="J33" s="422"/>
      <c r="K33" s="717"/>
      <c r="L33" s="422"/>
      <c r="M33" s="717"/>
      <c r="N33" s="422"/>
      <c r="O33" s="717"/>
      <c r="P33" s="422"/>
      <c r="Q33" s="717"/>
      <c r="R33" s="422"/>
      <c r="S33" s="717"/>
      <c r="T33" s="422"/>
      <c r="U33" s="717"/>
      <c r="V33" s="422"/>
      <c r="W33" s="717"/>
      <c r="X33" s="791"/>
    </row>
    <row r="34" spans="1:24" ht="15.75">
      <c r="A34" s="240">
        <v>30</v>
      </c>
      <c r="B34" s="1120">
        <f t="shared" si="0"/>
        <v>0</v>
      </c>
      <c r="C34" s="1120">
        <f t="shared" si="0"/>
        <v>0</v>
      </c>
      <c r="D34" s="422"/>
      <c r="E34" s="717"/>
      <c r="F34" s="714"/>
      <c r="G34" s="717"/>
      <c r="H34" s="422"/>
      <c r="I34" s="717"/>
      <c r="J34" s="422"/>
      <c r="K34" s="717"/>
      <c r="L34" s="422"/>
      <c r="M34" s="717"/>
      <c r="N34" s="422"/>
      <c r="O34" s="717"/>
      <c r="P34" s="422"/>
      <c r="Q34" s="717"/>
      <c r="R34" s="422"/>
      <c r="S34" s="717"/>
      <c r="T34" s="422"/>
      <c r="U34" s="717"/>
      <c r="V34" s="422"/>
      <c r="W34" s="717"/>
      <c r="X34" s="791"/>
    </row>
    <row r="35" spans="1:24" ht="16.5" thickBot="1">
      <c r="A35" s="396">
        <v>31</v>
      </c>
      <c r="B35" s="1121">
        <f t="shared" si="0"/>
        <v>0</v>
      </c>
      <c r="C35" s="1121">
        <f t="shared" si="0"/>
        <v>0</v>
      </c>
      <c r="D35" s="423"/>
      <c r="E35" s="718"/>
      <c r="F35" s="715"/>
      <c r="G35" s="718"/>
      <c r="H35" s="423"/>
      <c r="I35" s="718"/>
      <c r="J35" s="423"/>
      <c r="K35" s="718"/>
      <c r="L35" s="423"/>
      <c r="M35" s="718"/>
      <c r="N35" s="423"/>
      <c r="O35" s="718"/>
      <c r="P35" s="423"/>
      <c r="Q35" s="718"/>
      <c r="R35" s="423"/>
      <c r="S35" s="718"/>
      <c r="T35" s="423"/>
      <c r="U35" s="718"/>
      <c r="V35" s="423"/>
      <c r="W35" s="718"/>
      <c r="X35" s="791"/>
    </row>
    <row r="36" spans="1:24" ht="20.65" customHeight="1">
      <c r="A36" s="1065" t="s">
        <v>80</v>
      </c>
      <c r="B36" s="1066">
        <f t="shared" ref="B36:W36" si="1">SUM(B5:B35)</f>
        <v>0</v>
      </c>
      <c r="C36" s="1066">
        <f t="shared" si="1"/>
        <v>0</v>
      </c>
      <c r="D36" s="1066">
        <f t="shared" si="1"/>
        <v>0</v>
      </c>
      <c r="E36" s="1067">
        <f t="shared" si="1"/>
        <v>0</v>
      </c>
      <c r="F36" s="1066">
        <f t="shared" si="1"/>
        <v>0</v>
      </c>
      <c r="G36" s="1067">
        <f t="shared" si="1"/>
        <v>0</v>
      </c>
      <c r="H36" s="1066">
        <f t="shared" si="1"/>
        <v>0</v>
      </c>
      <c r="I36" s="1067">
        <f t="shared" si="1"/>
        <v>0</v>
      </c>
      <c r="J36" s="1066">
        <f t="shared" si="1"/>
        <v>0</v>
      </c>
      <c r="K36" s="1067">
        <f t="shared" si="1"/>
        <v>0</v>
      </c>
      <c r="L36" s="1066">
        <f t="shared" si="1"/>
        <v>0</v>
      </c>
      <c r="M36" s="1067">
        <f t="shared" si="1"/>
        <v>0</v>
      </c>
      <c r="N36" s="1066">
        <f t="shared" si="1"/>
        <v>0</v>
      </c>
      <c r="O36" s="1067">
        <f t="shared" si="1"/>
        <v>0</v>
      </c>
      <c r="P36" s="1066">
        <f t="shared" si="1"/>
        <v>0</v>
      </c>
      <c r="Q36" s="1067">
        <f t="shared" si="1"/>
        <v>0</v>
      </c>
      <c r="R36" s="1066">
        <f t="shared" si="1"/>
        <v>0</v>
      </c>
      <c r="S36" s="1067">
        <f t="shared" si="1"/>
        <v>0</v>
      </c>
      <c r="T36" s="1066">
        <f t="shared" si="1"/>
        <v>0</v>
      </c>
      <c r="U36" s="1067">
        <f t="shared" si="1"/>
        <v>0</v>
      </c>
      <c r="V36" s="1066">
        <f t="shared" si="1"/>
        <v>0</v>
      </c>
      <c r="W36" s="1067">
        <f t="shared" si="1"/>
        <v>0</v>
      </c>
      <c r="X36" s="791"/>
    </row>
    <row r="37" spans="1:24" ht="21" customHeight="1" thickBot="1">
      <c r="A37" s="1068" t="s">
        <v>183</v>
      </c>
      <c r="B37" s="1066">
        <f t="shared" ref="B37:W37" si="2">IFERROR(AVERAGE(B5:B35)," ")</f>
        <v>0</v>
      </c>
      <c r="C37" s="1066">
        <f t="shared" si="2"/>
        <v>0</v>
      </c>
      <c r="D37" s="1066" t="str">
        <f t="shared" si="2"/>
        <v xml:space="preserve"> </v>
      </c>
      <c r="E37" s="1067" t="str">
        <f t="shared" si="2"/>
        <v xml:space="preserve"> </v>
      </c>
      <c r="F37" s="1066" t="str">
        <f t="shared" si="2"/>
        <v xml:space="preserve"> </v>
      </c>
      <c r="G37" s="1067" t="str">
        <f t="shared" si="2"/>
        <v xml:space="preserve"> </v>
      </c>
      <c r="H37" s="1066" t="str">
        <f t="shared" si="2"/>
        <v xml:space="preserve"> </v>
      </c>
      <c r="I37" s="1067" t="str">
        <f t="shared" si="2"/>
        <v xml:space="preserve"> </v>
      </c>
      <c r="J37" s="1066" t="str">
        <f t="shared" si="2"/>
        <v xml:space="preserve"> </v>
      </c>
      <c r="K37" s="1067" t="str">
        <f t="shared" si="2"/>
        <v xml:space="preserve"> </v>
      </c>
      <c r="L37" s="1066" t="str">
        <f t="shared" si="2"/>
        <v xml:space="preserve"> </v>
      </c>
      <c r="M37" s="1067" t="str">
        <f t="shared" si="2"/>
        <v xml:space="preserve"> </v>
      </c>
      <c r="N37" s="1066" t="str">
        <f t="shared" si="2"/>
        <v xml:space="preserve"> </v>
      </c>
      <c r="O37" s="1067" t="str">
        <f t="shared" si="2"/>
        <v xml:space="preserve"> </v>
      </c>
      <c r="P37" s="1066" t="str">
        <f t="shared" si="2"/>
        <v xml:space="preserve"> </v>
      </c>
      <c r="Q37" s="1067" t="str">
        <f t="shared" si="2"/>
        <v xml:space="preserve"> </v>
      </c>
      <c r="R37" s="1066" t="str">
        <f t="shared" si="2"/>
        <v xml:space="preserve"> </v>
      </c>
      <c r="S37" s="1067" t="str">
        <f t="shared" si="2"/>
        <v xml:space="preserve"> </v>
      </c>
      <c r="T37" s="1066" t="str">
        <f t="shared" si="2"/>
        <v xml:space="preserve"> </v>
      </c>
      <c r="U37" s="1067" t="str">
        <f t="shared" si="2"/>
        <v xml:space="preserve"> </v>
      </c>
      <c r="V37" s="1066" t="str">
        <f t="shared" si="2"/>
        <v xml:space="preserve"> </v>
      </c>
      <c r="W37" s="1067" t="str">
        <f t="shared" si="2"/>
        <v xml:space="preserve"> </v>
      </c>
      <c r="X37" s="791"/>
    </row>
    <row r="38" spans="1:24">
      <c r="A38" s="886">
        <f>PWSID</f>
        <v>0</v>
      </c>
      <c r="B38" s="886"/>
      <c r="C38" s="886"/>
      <c r="D38" s="791"/>
      <c r="E38" s="791"/>
      <c r="F38" s="791"/>
      <c r="G38" s="791"/>
      <c r="H38" s="791"/>
      <c r="I38" s="791"/>
      <c r="J38" s="791"/>
      <c r="K38" s="791"/>
      <c r="L38" s="791"/>
      <c r="M38" s="791"/>
      <c r="N38" s="791"/>
      <c r="O38" s="791"/>
      <c r="P38" s="791"/>
      <c r="Q38" s="791"/>
      <c r="R38" s="791"/>
      <c r="S38" s="791"/>
      <c r="T38" s="791"/>
      <c r="U38" s="791"/>
      <c r="V38" s="791"/>
      <c r="W38" s="791"/>
      <c r="X38" s="791"/>
    </row>
    <row r="39" spans="1:24">
      <c r="A39" s="889" t="str">
        <f>MMYYYY</f>
        <v>05/2025</v>
      </c>
      <c r="B39" s="889"/>
      <c r="C39" s="889"/>
      <c r="D39" s="791"/>
      <c r="E39" s="791"/>
      <c r="F39" s="791"/>
      <c r="G39" s="791"/>
      <c r="H39" s="791"/>
      <c r="I39" s="791"/>
      <c r="J39" s="791"/>
      <c r="K39" s="791"/>
      <c r="L39" s="791"/>
      <c r="M39" s="791"/>
      <c r="N39" s="791"/>
      <c r="O39" s="791"/>
      <c r="P39" s="791"/>
      <c r="Q39" s="791"/>
      <c r="R39" s="791"/>
      <c r="S39" s="791"/>
      <c r="T39" s="791"/>
      <c r="U39" s="791"/>
      <c r="V39" s="791"/>
      <c r="W39" s="791"/>
      <c r="X39" s="791"/>
    </row>
    <row r="40" spans="1:24">
      <c r="A40" s="791"/>
      <c r="B40" s="791"/>
      <c r="C40" s="791"/>
      <c r="D40" s="791"/>
      <c r="E40" s="791"/>
      <c r="F40" s="791"/>
      <c r="G40" s="791"/>
      <c r="H40" s="791"/>
      <c r="I40" s="791"/>
      <c r="J40" s="791"/>
      <c r="K40" s="791"/>
      <c r="L40" s="791"/>
      <c r="M40" s="791"/>
      <c r="N40" s="791"/>
      <c r="O40" s="791"/>
      <c r="P40" s="791"/>
      <c r="Q40" s="791"/>
      <c r="R40" s="791"/>
      <c r="S40" s="791"/>
      <c r="T40" s="791"/>
      <c r="U40" s="791"/>
      <c r="V40" s="791"/>
      <c r="W40" s="791"/>
      <c r="X40" s="791"/>
    </row>
  </sheetData>
  <sheetProtection algorithmName="SHA-512" hashValue="lXp8542b9kxOpQ4LWi4DX5w65NhC4HOKEPAj2kfklqXtBaENBNSu4u7lOqqOGlbtDS1A9CKdl2Ap6N0UczeXGA==" saltValue="NIJ19xw3L5Pe+uPvT3Mn/Q==" spinCount="100000" sheet="1" selectLockedCells="1"/>
  <mergeCells count="13">
    <mergeCell ref="B2:B4"/>
    <mergeCell ref="C2:C4"/>
    <mergeCell ref="D3:E3"/>
    <mergeCell ref="D2:W2"/>
    <mergeCell ref="P3:Q3"/>
    <mergeCell ref="R3:S3"/>
    <mergeCell ref="T3:U3"/>
    <mergeCell ref="V3:W3"/>
    <mergeCell ref="F3:G3"/>
    <mergeCell ref="H3:I3"/>
    <mergeCell ref="J3:K3"/>
    <mergeCell ref="L3:M3"/>
    <mergeCell ref="N3:O3"/>
  </mergeCells>
  <hyperlinks>
    <hyperlink ref="A1" location="Bookmarks!A1" display="Return to Bookmarks" xr:uid="{ECD077D0-D941-48F2-AEEC-C758C3D80ACC}"/>
  </hyperlinks>
  <pageMargins left="0.7" right="0.7" top="0.75" bottom="0.75" header="0.3" footer="0.3"/>
  <pageSetup scale="97" orientation="portrait" r:id="rId1"/>
  <colBreaks count="2" manualBreakCount="2">
    <brk id="7" max="38" man="1"/>
    <brk id="13"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tabColor theme="6" tint="0.79998168889431442"/>
    <pageSetUpPr fitToPage="1"/>
  </sheetPr>
  <dimension ref="A1:I44"/>
  <sheetViews>
    <sheetView showGridLines="0" zoomScaleNormal="100" zoomScalePageLayoutView="120" workbookViewId="0">
      <selection activeCell="A3" sqref="A3"/>
    </sheetView>
  </sheetViews>
  <sheetFormatPr defaultRowHeight="12.75"/>
  <cols>
    <col min="1" max="1" width="13.28515625" customWidth="1"/>
    <col min="2" max="2" width="16.28515625" style="665" customWidth="1"/>
    <col min="3" max="3" width="18.42578125" style="346" customWidth="1"/>
    <col min="4" max="4" width="45.28515625" customWidth="1"/>
    <col min="5" max="5" width="1.85546875" customWidth="1"/>
    <col min="9" max="9" width="14.7109375" hidden="1" customWidth="1"/>
  </cols>
  <sheetData>
    <row r="1" spans="1:9" ht="34.15" customHeight="1">
      <c r="A1" s="1094" t="s">
        <v>730</v>
      </c>
      <c r="B1" s="1100" t="s">
        <v>509</v>
      </c>
      <c r="C1" s="1099"/>
      <c r="D1" s="1099"/>
      <c r="E1" s="791"/>
    </row>
    <row r="2" spans="1:9" ht="27.75" customHeight="1">
      <c r="A2" s="1069" t="s">
        <v>226</v>
      </c>
      <c r="B2" s="949" t="s">
        <v>510</v>
      </c>
      <c r="C2" s="949" t="s">
        <v>511</v>
      </c>
      <c r="D2" s="1069" t="s">
        <v>512</v>
      </c>
      <c r="E2" s="791"/>
    </row>
    <row r="3" spans="1:9" ht="28.9" customHeight="1">
      <c r="A3" s="719"/>
      <c r="B3" s="723"/>
      <c r="C3" s="723"/>
      <c r="D3" s="723"/>
      <c r="E3" s="791"/>
    </row>
    <row r="4" spans="1:9" ht="28.9" customHeight="1">
      <c r="A4" s="720"/>
      <c r="B4" s="724"/>
      <c r="C4" s="724"/>
      <c r="D4" s="724"/>
      <c r="E4" s="791"/>
    </row>
    <row r="5" spans="1:9" ht="28.9" customHeight="1">
      <c r="A5" s="720"/>
      <c r="B5" s="724"/>
      <c r="C5" s="724"/>
      <c r="D5" s="724"/>
      <c r="E5" s="791"/>
    </row>
    <row r="6" spans="1:9" ht="28.9" customHeight="1">
      <c r="A6" s="720"/>
      <c r="B6" s="724"/>
      <c r="C6" s="724"/>
      <c r="D6" s="724"/>
      <c r="E6" s="791"/>
      <c r="I6" s="116" t="s">
        <v>615</v>
      </c>
    </row>
    <row r="7" spans="1:9" ht="28.9" customHeight="1">
      <c r="A7" s="720"/>
      <c r="B7" s="724"/>
      <c r="C7" s="724"/>
      <c r="D7" s="724"/>
      <c r="E7" s="791"/>
      <c r="I7" s="116" t="s">
        <v>616</v>
      </c>
    </row>
    <row r="8" spans="1:9" ht="28.9" customHeight="1">
      <c r="A8" s="721"/>
      <c r="B8" s="725"/>
      <c r="C8" s="725"/>
      <c r="D8" s="725"/>
      <c r="E8" s="791"/>
      <c r="I8" s="116" t="s">
        <v>617</v>
      </c>
    </row>
    <row r="9" spans="1:9" ht="28.9" customHeight="1">
      <c r="A9" s="721"/>
      <c r="B9" s="725"/>
      <c r="C9" s="725"/>
      <c r="D9" s="725"/>
      <c r="E9" s="791"/>
      <c r="I9" s="116" t="s">
        <v>618</v>
      </c>
    </row>
    <row r="10" spans="1:9" ht="28.9" customHeight="1">
      <c r="A10" s="721"/>
      <c r="B10" s="725"/>
      <c r="C10" s="725"/>
      <c r="D10" s="725"/>
      <c r="E10" s="791"/>
      <c r="I10" s="116" t="s">
        <v>619</v>
      </c>
    </row>
    <row r="11" spans="1:9" ht="28.9" customHeight="1">
      <c r="A11" s="721"/>
      <c r="B11" s="725"/>
      <c r="C11" s="725"/>
      <c r="D11" s="725"/>
      <c r="E11" s="791"/>
      <c r="I11" s="116" t="s">
        <v>620</v>
      </c>
    </row>
    <row r="12" spans="1:9" ht="28.9" customHeight="1">
      <c r="A12" s="721"/>
      <c r="B12" s="725"/>
      <c r="C12" s="725"/>
      <c r="D12" s="725"/>
      <c r="E12" s="791"/>
      <c r="I12" s="116" t="s">
        <v>621</v>
      </c>
    </row>
    <row r="13" spans="1:9" ht="28.9" customHeight="1">
      <c r="A13" s="721"/>
      <c r="B13" s="725"/>
      <c r="C13" s="725"/>
      <c r="D13" s="725"/>
      <c r="E13" s="791"/>
      <c r="I13" s="116" t="s">
        <v>622</v>
      </c>
    </row>
    <row r="14" spans="1:9" ht="28.9" customHeight="1">
      <c r="A14" s="721"/>
      <c r="B14" s="725"/>
      <c r="C14" s="725"/>
      <c r="D14" s="725"/>
      <c r="E14" s="791"/>
      <c r="I14" s="116" t="s">
        <v>623</v>
      </c>
    </row>
    <row r="15" spans="1:9" ht="28.9" customHeight="1">
      <c r="A15" s="721"/>
      <c r="B15" s="725"/>
      <c r="C15" s="725"/>
      <c r="D15" s="725"/>
      <c r="E15" s="791"/>
      <c r="I15" s="116" t="s">
        <v>624</v>
      </c>
    </row>
    <row r="16" spans="1:9" ht="28.9" customHeight="1">
      <c r="A16" s="721"/>
      <c r="B16" s="725"/>
      <c r="C16" s="725"/>
      <c r="D16" s="725"/>
      <c r="E16" s="791"/>
      <c r="I16" s="116" t="s">
        <v>513</v>
      </c>
    </row>
    <row r="17" spans="1:9" ht="28.9" customHeight="1">
      <c r="A17" s="721"/>
      <c r="B17" s="725"/>
      <c r="C17" s="725"/>
      <c r="D17" s="725"/>
      <c r="E17" s="791"/>
      <c r="I17" s="116" t="s">
        <v>514</v>
      </c>
    </row>
    <row r="18" spans="1:9" ht="28.9" customHeight="1">
      <c r="A18" s="721"/>
      <c r="B18" s="725"/>
      <c r="C18" s="725"/>
      <c r="D18" s="725"/>
      <c r="E18" s="791"/>
      <c r="I18" s="116"/>
    </row>
    <row r="19" spans="1:9" ht="28.9" customHeight="1">
      <c r="A19" s="721"/>
      <c r="B19" s="725"/>
      <c r="C19" s="725"/>
      <c r="D19" s="725"/>
      <c r="E19" s="791"/>
      <c r="I19" s="116"/>
    </row>
    <row r="20" spans="1:9" ht="28.9" customHeight="1">
      <c r="A20" s="721"/>
      <c r="B20" s="725"/>
      <c r="C20" s="725"/>
      <c r="D20" s="725"/>
      <c r="E20" s="791"/>
    </row>
    <row r="21" spans="1:9" ht="28.9" customHeight="1">
      <c r="A21" s="721"/>
      <c r="B21" s="725"/>
      <c r="C21" s="725"/>
      <c r="D21" s="725"/>
      <c r="E21" s="791"/>
    </row>
    <row r="22" spans="1:9" ht="28.9" customHeight="1">
      <c r="A22" s="721"/>
      <c r="B22" s="725"/>
      <c r="C22" s="725"/>
      <c r="D22" s="725"/>
      <c r="E22" s="791"/>
    </row>
    <row r="23" spans="1:9" ht="28.9" customHeight="1">
      <c r="A23" s="721"/>
      <c r="B23" s="725"/>
      <c r="C23" s="725"/>
      <c r="D23" s="725"/>
      <c r="E23" s="791"/>
    </row>
    <row r="24" spans="1:9" ht="28.9" customHeight="1">
      <c r="A24" s="721"/>
      <c r="B24" s="725"/>
      <c r="C24" s="725"/>
      <c r="D24" s="725"/>
      <c r="E24" s="791"/>
    </row>
    <row r="25" spans="1:9" ht="28.9" customHeight="1">
      <c r="A25" s="721"/>
      <c r="B25" s="725"/>
      <c r="C25" s="725"/>
      <c r="D25" s="725"/>
      <c r="E25" s="791"/>
    </row>
    <row r="26" spans="1:9" ht="28.9" customHeight="1">
      <c r="A26" s="722"/>
      <c r="B26" s="726"/>
      <c r="C26" s="726"/>
      <c r="D26" s="726"/>
      <c r="E26" s="791"/>
    </row>
    <row r="27" spans="1:9">
      <c r="A27" s="1012">
        <f>PWSID</f>
        <v>0</v>
      </c>
      <c r="B27" s="1012" t="str">
        <f>MMYYYY</f>
        <v>05/2025</v>
      </c>
      <c r="C27" s="1012"/>
      <c r="D27" s="1012"/>
      <c r="E27" s="791"/>
    </row>
    <row r="28" spans="1:9" ht="10.5" customHeight="1">
      <c r="A28" s="791"/>
      <c r="B28" s="1029"/>
      <c r="C28" s="817"/>
      <c r="D28" s="791"/>
      <c r="E28" s="791"/>
    </row>
    <row r="29" spans="1:9" ht="25.15" customHeight="1"/>
    <row r="30" spans="1:9" ht="25.15" customHeight="1"/>
    <row r="31" spans="1:9" ht="25.15" customHeight="1"/>
    <row r="32" spans="1:9" ht="25.15" customHeight="1"/>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sheetData>
  <sheetProtection algorithmName="SHA-512" hashValue="UJfyaqXIBGE7WzfNb8EQ0X6gtZHQiTSp9o0x8LARLMCACTTNtZorK1s4XPtQcOxh0apCpEG6GRShXPmSnfdLow==" saltValue="9+dPcNPEgWZ/nLcSHTH6JQ==" spinCount="100000" sheet="1" formatColumns="0" selectLockedCells="1"/>
  <dataValidations count="2">
    <dataValidation type="list" errorStyle="warning" allowBlank="1" showInputMessage="1" showErrorMessage="1" errorTitle="Invaild Entry!" error="Please select from list" prompt="Select Page that refers to your comment" sqref="B3" xr:uid="{15EA78E8-1475-4598-9DB9-0CB6053E9ABB}">
      <formula1>$I$5:$I$17</formula1>
    </dataValidation>
    <dataValidation type="list" errorStyle="warning" allowBlank="1" showInputMessage="1" showErrorMessage="1" errorTitle="Invaild Entry!" error="Please select from list" promptTitle="Reference Page" prompt="Select Page that refers to your comment" sqref="B4:B26" xr:uid="{00000000-0002-0000-0F00-000000000000}">
      <formula1>$I$5:$I$17</formula1>
    </dataValidation>
  </dataValidations>
  <hyperlinks>
    <hyperlink ref="A1" location="Bookmarks!A1" display="Return to Bookmarks" xr:uid="{A77EC476-624C-4E47-8949-5A9D4FDB9B70}"/>
  </hyperlinks>
  <pageMargins left="1.25" right="0.5" top="0.75" bottom="0.5" header="0.25" footer="0"/>
  <pageSetup scale="94" fitToHeight="0" orientation="portrait" horizontalDpi="1200" verticalDpi="1200" r:id="rId1"/>
  <headerFooter>
    <oddHeader>&amp;LMonthly Operating Report
Comments Page</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P55"/>
  <sheetViews>
    <sheetView showGridLines="0" zoomScale="90" zoomScaleNormal="90" zoomScalePageLayoutView="50" workbookViewId="0">
      <selection activeCell="E12" sqref="E12:G12"/>
    </sheetView>
  </sheetViews>
  <sheetFormatPr defaultColWidth="9" defaultRowHeight="12.75"/>
  <cols>
    <col min="1" max="1" width="1.7109375" customWidth="1"/>
    <col min="2" max="2" width="3.28515625" customWidth="1"/>
    <col min="3" max="3" width="32.7109375" customWidth="1"/>
    <col min="4" max="4" width="2" customWidth="1"/>
    <col min="5" max="5" width="31.28515625" customWidth="1"/>
    <col min="6" max="6" width="9.42578125" customWidth="1"/>
    <col min="7" max="7" width="5.42578125" customWidth="1"/>
    <col min="8" max="8" width="21.7109375" customWidth="1"/>
    <col min="9" max="9" width="4.5703125" customWidth="1"/>
    <col min="10" max="10" width="33.7109375" customWidth="1"/>
    <col min="11" max="11" width="2.28515625" customWidth="1"/>
    <col min="12" max="12" width="1.28515625" customWidth="1"/>
    <col min="13" max="13" width="2.28515625" customWidth="1"/>
  </cols>
  <sheetData>
    <row r="1" spans="1:16" ht="51.75" customHeight="1">
      <c r="A1" s="115"/>
      <c r="B1" s="115"/>
      <c r="C1" s="1143" t="e" vm="2">
        <v>#VALUE!</v>
      </c>
      <c r="D1" s="1146"/>
      <c r="E1" s="1146"/>
      <c r="F1" s="1146"/>
      <c r="G1" s="1146"/>
      <c r="H1" s="1146"/>
      <c r="I1" s="1146"/>
      <c r="J1" s="1146"/>
      <c r="M1" s="791"/>
    </row>
    <row r="2" spans="1:16" ht="24" customHeight="1">
      <c r="A2" s="116"/>
      <c r="B2" s="116"/>
      <c r="C2" s="1143"/>
      <c r="D2" s="38"/>
      <c r="E2" s="38"/>
      <c r="F2" s="343" t="s">
        <v>0</v>
      </c>
      <c r="G2" s="343"/>
      <c r="H2" s="343"/>
      <c r="I2" s="343"/>
      <c r="J2" s="38"/>
      <c r="K2" s="16"/>
      <c r="L2" s="116"/>
      <c r="M2" s="791"/>
    </row>
    <row r="3" spans="1:16" ht="21.6" customHeight="1">
      <c r="A3" s="116"/>
      <c r="B3" s="142"/>
      <c r="C3" s="1117" t="s">
        <v>730</v>
      </c>
      <c r="D3" s="38"/>
      <c r="E3" s="19"/>
      <c r="F3" s="343" t="s">
        <v>1</v>
      </c>
      <c r="G3" s="343"/>
      <c r="H3" s="343"/>
      <c r="I3" s="38"/>
      <c r="J3" s="19"/>
      <c r="K3" s="142"/>
      <c r="L3" s="116"/>
      <c r="M3" s="791"/>
    </row>
    <row r="4" spans="1:16" ht="49.5" customHeight="1" thickBot="1">
      <c r="B4" s="142"/>
      <c r="C4" s="1150" t="s">
        <v>2</v>
      </c>
      <c r="D4" s="1150"/>
      <c r="E4" s="1150"/>
      <c r="F4" s="1150"/>
      <c r="G4" s="1150"/>
      <c r="H4" s="1150"/>
      <c r="I4" s="1150"/>
      <c r="J4" s="1150"/>
      <c r="K4" s="1150"/>
      <c r="M4" s="791"/>
    </row>
    <row r="5" spans="1:16" ht="30" customHeight="1" thickBot="1">
      <c r="B5" s="142"/>
      <c r="C5" s="621" t="s">
        <v>724</v>
      </c>
      <c r="D5" s="652"/>
      <c r="E5" s="652"/>
      <c r="F5" s="652"/>
      <c r="G5" s="652"/>
      <c r="H5" s="652"/>
      <c r="I5" s="144"/>
      <c r="J5" s="304" t="s">
        <v>3</v>
      </c>
      <c r="K5" s="652"/>
      <c r="M5" s="791"/>
    </row>
    <row r="6" spans="1:16" s="91" customFormat="1" ht="30" customHeight="1" thickBot="1">
      <c r="A6" s="283"/>
      <c r="B6" s="143"/>
      <c r="C6" s="620" t="s">
        <v>725</v>
      </c>
      <c r="D6" s="143"/>
      <c r="E6" s="622" t="s">
        <v>625</v>
      </c>
      <c r="F6" s="201"/>
      <c r="G6" s="143"/>
      <c r="H6" s="1154" t="s">
        <v>4</v>
      </c>
      <c r="I6" s="146"/>
      <c r="J6" s="1156" t="s">
        <v>5</v>
      </c>
      <c r="K6" s="1157"/>
      <c r="L6" s="1157"/>
      <c r="M6" s="837"/>
    </row>
    <row r="7" spans="1:16" s="91" customFormat="1" ht="30" customHeight="1" thickBot="1">
      <c r="A7" s="283"/>
      <c r="B7" s="143"/>
      <c r="C7" s="143"/>
      <c r="D7" s="1160" t="str">
        <f>IF(F6="No","Note: Provide an explanation on Comments page for why plant was not operating"," ")</f>
        <v xml:space="preserve"> </v>
      </c>
      <c r="E7" s="1160"/>
      <c r="F7" s="1160"/>
      <c r="G7" s="1160"/>
      <c r="H7" s="1154"/>
      <c r="I7" s="146"/>
      <c r="J7" s="344" t="s">
        <v>6</v>
      </c>
      <c r="K7" s="143"/>
      <c r="L7" s="283"/>
      <c r="M7" s="837"/>
    </row>
    <row r="8" spans="1:16" ht="30" customHeight="1" thickBot="1">
      <c r="A8" s="116"/>
      <c r="B8" s="142"/>
      <c r="C8" s="83"/>
      <c r="D8" s="651"/>
      <c r="E8" s="21" t="s">
        <v>7</v>
      </c>
      <c r="F8" s="201" t="s">
        <v>762</v>
      </c>
      <c r="G8" s="407"/>
      <c r="H8" s="1154"/>
      <c r="I8" s="146"/>
      <c r="J8" s="656" t="s">
        <v>8</v>
      </c>
      <c r="K8" s="145"/>
      <c r="L8" s="116"/>
      <c r="M8" s="791"/>
      <c r="N8" s="102"/>
    </row>
    <row r="9" spans="1:16" ht="30" customHeight="1" thickBot="1">
      <c r="A9" s="116"/>
      <c r="B9" s="1151"/>
      <c r="C9" s="1151"/>
      <c r="D9" s="1151"/>
      <c r="E9" s="1151"/>
      <c r="F9" s="147"/>
      <c r="G9" s="142"/>
      <c r="H9" s="142"/>
      <c r="I9" s="144"/>
      <c r="J9" s="304" t="s">
        <v>9</v>
      </c>
      <c r="K9" s="142"/>
      <c r="L9" s="116"/>
      <c r="M9" s="791"/>
    </row>
    <row r="10" spans="1:16" ht="8.65" customHeight="1" thickBot="1">
      <c r="A10" s="81"/>
      <c r="B10" s="368"/>
      <c r="C10" s="368"/>
      <c r="D10" s="368"/>
      <c r="E10" s="366"/>
      <c r="F10" s="367"/>
      <c r="G10" s="367"/>
      <c r="H10" s="674"/>
      <c r="I10" s="366"/>
      <c r="J10" s="367"/>
      <c r="K10" s="369"/>
      <c r="L10" s="675"/>
      <c r="M10" s="791"/>
    </row>
    <row r="11" spans="1:16" ht="40.5" customHeight="1" thickBot="1">
      <c r="A11" s="675"/>
      <c r="B11" s="16"/>
      <c r="C11" s="264" t="s">
        <v>10</v>
      </c>
      <c r="D11" s="16"/>
      <c r="E11" s="302"/>
      <c r="F11" s="265" t="s">
        <v>11</v>
      </c>
      <c r="G11" s="160"/>
      <c r="H11" s="175" t="s">
        <v>12</v>
      </c>
      <c r="I11" s="666"/>
      <c r="J11" s="364"/>
      <c r="K11" s="16"/>
      <c r="L11" s="675"/>
      <c r="M11" s="791"/>
      <c r="N11" s="116"/>
    </row>
    <row r="12" spans="1:16" ht="28.15" customHeight="1" thickBot="1">
      <c r="A12" s="675"/>
      <c r="B12" s="16"/>
      <c r="C12" s="149" t="s">
        <v>13</v>
      </c>
      <c r="D12" s="16"/>
      <c r="E12" s="1152"/>
      <c r="F12" s="1153"/>
      <c r="G12" s="1152"/>
      <c r="H12" s="176" t="s">
        <v>14</v>
      </c>
      <c r="I12" s="371"/>
      <c r="J12" s="373"/>
      <c r="K12" s="16"/>
      <c r="L12" s="675"/>
      <c r="M12" s="791"/>
    </row>
    <row r="13" spans="1:16" ht="28.15" customHeight="1" thickBot="1">
      <c r="A13" s="675"/>
      <c r="B13" s="16"/>
      <c r="C13" s="149" t="s">
        <v>15</v>
      </c>
      <c r="D13" s="16"/>
      <c r="E13" s="653"/>
      <c r="F13" s="85"/>
      <c r="G13" s="16"/>
      <c r="H13" s="175" t="s">
        <v>16</v>
      </c>
      <c r="I13" s="666"/>
      <c r="J13" s="372"/>
      <c r="K13" s="16"/>
      <c r="L13" s="675"/>
      <c r="M13" s="791"/>
      <c r="N13" s="168" t="s">
        <v>17</v>
      </c>
      <c r="O13" s="168" t="s">
        <v>18</v>
      </c>
      <c r="P13" s="168" t="s">
        <v>19</v>
      </c>
    </row>
    <row r="14" spans="1:16" ht="28.15" customHeight="1" thickBot="1">
      <c r="A14" s="675"/>
      <c r="B14" s="16"/>
      <c r="C14" s="149" t="s">
        <v>20</v>
      </c>
      <c r="D14" s="16"/>
      <c r="E14" s="160"/>
      <c r="F14" s="16"/>
      <c r="G14" s="16"/>
      <c r="H14" s="149" t="s">
        <v>21</v>
      </c>
      <c r="I14" s="16"/>
      <c r="J14" s="654"/>
      <c r="K14" s="16"/>
      <c r="L14" s="675"/>
      <c r="M14" s="791"/>
      <c r="N14" s="168" t="s">
        <v>22</v>
      </c>
      <c r="O14" s="168" t="s">
        <v>23</v>
      </c>
      <c r="P14" s="168" t="s">
        <v>24</v>
      </c>
    </row>
    <row r="15" spans="1:16" ht="28.15" customHeight="1" thickBot="1">
      <c r="A15" s="675"/>
      <c r="B15" s="16"/>
      <c r="C15" s="149"/>
      <c r="D15" s="16"/>
      <c r="E15" s="655"/>
      <c r="F15" s="16"/>
      <c r="G15" s="16"/>
      <c r="H15" s="149"/>
      <c r="I15" s="16"/>
      <c r="J15" s="653"/>
      <c r="K15" s="16"/>
      <c r="L15" s="675"/>
      <c r="M15" s="791"/>
      <c r="N15" s="168" t="s">
        <v>25</v>
      </c>
      <c r="O15" s="168" t="s">
        <v>26</v>
      </c>
      <c r="P15" s="168" t="s">
        <v>27</v>
      </c>
    </row>
    <row r="16" spans="1:16" ht="28.15" customHeight="1" thickBot="1">
      <c r="A16" s="675"/>
      <c r="B16" s="16"/>
      <c r="C16" s="149"/>
      <c r="D16" s="16"/>
      <c r="E16" s="653"/>
      <c r="F16" s="85"/>
      <c r="G16" s="16"/>
      <c r="H16" s="149"/>
      <c r="I16" s="16"/>
      <c r="J16" s="653"/>
      <c r="K16" s="16"/>
      <c r="L16" s="675"/>
      <c r="M16" s="791"/>
      <c r="N16" s="168" t="s">
        <v>28</v>
      </c>
      <c r="O16" s="168" t="s">
        <v>29</v>
      </c>
      <c r="P16" s="168" t="s">
        <v>30</v>
      </c>
    </row>
    <row r="17" spans="1:15" ht="28.15" customHeight="1" thickBot="1">
      <c r="A17" s="675"/>
      <c r="B17" s="16"/>
      <c r="C17" s="149"/>
      <c r="D17" s="16"/>
      <c r="E17" s="653"/>
      <c r="F17" s="85"/>
      <c r="G17" s="16"/>
      <c r="H17" s="149"/>
      <c r="I17" s="16"/>
      <c r="J17" s="653"/>
      <c r="K17" s="16"/>
      <c r="L17" s="675"/>
      <c r="M17" s="791"/>
      <c r="N17" s="168" t="s">
        <v>31</v>
      </c>
      <c r="O17" s="168"/>
    </row>
    <row r="18" spans="1:15" ht="37.15" customHeight="1">
      <c r="A18" s="675"/>
      <c r="B18" s="16"/>
      <c r="C18" s="148"/>
      <c r="D18" s="16"/>
      <c r="E18" s="1145" t="s">
        <v>32</v>
      </c>
      <c r="F18" s="1145"/>
      <c r="G18" s="1145"/>
      <c r="H18" s="651" t="s">
        <v>33</v>
      </c>
      <c r="I18" s="85"/>
      <c r="J18" s="158" t="s">
        <v>34</v>
      </c>
      <c r="K18" s="16"/>
      <c r="L18" s="675"/>
      <c r="M18" s="791"/>
      <c r="N18" s="168" t="s">
        <v>35</v>
      </c>
      <c r="O18" s="168"/>
    </row>
    <row r="19" spans="1:15" ht="28.15" customHeight="1" thickBot="1">
      <c r="A19" s="675"/>
      <c r="B19" s="16"/>
      <c r="C19" s="149" t="s">
        <v>36</v>
      </c>
      <c r="D19" s="16"/>
      <c r="E19" s="160"/>
      <c r="F19" s="16"/>
      <c r="G19" s="16"/>
      <c r="H19" s="654"/>
      <c r="I19" s="85"/>
      <c r="J19" s="543"/>
      <c r="K19" s="16"/>
      <c r="L19" s="675"/>
      <c r="M19" s="791"/>
      <c r="N19" s="168" t="s">
        <v>37</v>
      </c>
      <c r="O19" s="168"/>
    </row>
    <row r="20" spans="1:15" ht="28.15" customHeight="1" thickBot="1">
      <c r="A20" s="675"/>
      <c r="B20" s="16"/>
      <c r="C20" s="149"/>
      <c r="D20" s="16"/>
      <c r="E20" s="160"/>
      <c r="F20" s="16"/>
      <c r="G20" s="16"/>
      <c r="H20" s="654"/>
      <c r="I20" s="85"/>
      <c r="J20" s="543"/>
      <c r="K20" s="16"/>
      <c r="L20" s="675"/>
      <c r="M20" s="791"/>
      <c r="N20" s="168" t="s">
        <v>38</v>
      </c>
      <c r="O20" s="168"/>
    </row>
    <row r="21" spans="1:15" ht="28.15" customHeight="1" thickBot="1">
      <c r="A21" s="675"/>
      <c r="B21" s="16"/>
      <c r="C21" s="637"/>
      <c r="D21" s="16"/>
      <c r="E21" s="655"/>
      <c r="F21" s="16"/>
      <c r="G21" s="16"/>
      <c r="H21" s="654"/>
      <c r="I21" s="85"/>
      <c r="J21" s="544"/>
      <c r="K21" s="16"/>
      <c r="L21" s="675"/>
      <c r="M21" s="791"/>
    </row>
    <row r="22" spans="1:15" ht="28.15" customHeight="1" thickBot="1">
      <c r="A22" s="675"/>
      <c r="B22" s="16"/>
      <c r="C22" s="637"/>
      <c r="D22" s="16"/>
      <c r="E22" s="655"/>
      <c r="F22" s="16"/>
      <c r="G22" s="16"/>
      <c r="H22" s="654"/>
      <c r="I22" s="85"/>
      <c r="J22" s="544"/>
      <c r="K22" s="16"/>
      <c r="L22" s="675"/>
      <c r="M22" s="791"/>
    </row>
    <row r="23" spans="1:15" ht="28.15" customHeight="1" thickBot="1">
      <c r="A23" s="675"/>
      <c r="B23" s="16"/>
      <c r="C23" s="637" t="s">
        <v>39</v>
      </c>
      <c r="D23" s="16"/>
      <c r="E23" s="655"/>
      <c r="F23" s="16"/>
      <c r="G23" s="16"/>
      <c r="H23" s="654"/>
      <c r="I23" s="85"/>
      <c r="J23" s="544"/>
      <c r="K23" s="16"/>
      <c r="L23" s="675"/>
      <c r="M23" s="791"/>
    </row>
    <row r="24" spans="1:15" ht="28.15" customHeight="1" thickBot="1">
      <c r="A24" s="675"/>
      <c r="B24" s="16"/>
      <c r="C24" s="637"/>
      <c r="D24" s="16"/>
      <c r="E24" s="655"/>
      <c r="F24" s="16"/>
      <c r="G24" s="16"/>
      <c r="H24" s="654"/>
      <c r="I24" s="85"/>
      <c r="J24" s="544"/>
      <c r="K24" s="16"/>
      <c r="L24" s="675"/>
      <c r="M24" s="791"/>
    </row>
    <row r="25" spans="1:15" ht="28.15" customHeight="1" thickBot="1">
      <c r="A25" s="675"/>
      <c r="B25" s="16"/>
      <c r="C25" s="149"/>
      <c r="D25" s="16"/>
      <c r="E25" s="1079"/>
      <c r="F25" s="16"/>
      <c r="G25" s="16"/>
      <c r="H25" s="653"/>
      <c r="I25" s="85"/>
      <c r="J25" s="544"/>
      <c r="K25" s="16"/>
      <c r="L25" s="675"/>
      <c r="M25" s="791"/>
    </row>
    <row r="26" spans="1:15" ht="28.15" customHeight="1" thickBot="1">
      <c r="A26" s="675"/>
      <c r="B26" s="16"/>
      <c r="C26" s="149"/>
      <c r="D26" s="16"/>
      <c r="E26" s="655"/>
      <c r="F26" s="16"/>
      <c r="G26" s="16"/>
      <c r="H26" s="653"/>
      <c r="I26" s="85"/>
      <c r="J26" s="544"/>
      <c r="K26" s="16"/>
      <c r="L26" s="675"/>
      <c r="M26" s="791"/>
    </row>
    <row r="27" spans="1:15" ht="28.15" customHeight="1">
      <c r="A27" s="675"/>
      <c r="B27" s="1148" t="s">
        <v>40</v>
      </c>
      <c r="C27" s="1148"/>
      <c r="D27" s="1148"/>
      <c r="E27" s="1148"/>
      <c r="F27" s="1148"/>
      <c r="G27" s="1148"/>
      <c r="H27" s="1148"/>
      <c r="I27" s="1148"/>
      <c r="J27" s="1148"/>
      <c r="K27" s="1148"/>
      <c r="L27" s="675"/>
      <c r="M27" s="791"/>
    </row>
    <row r="28" spans="1:15" ht="9.75" customHeight="1">
      <c r="A28" s="675"/>
      <c r="B28" s="1155"/>
      <c r="C28" s="1155"/>
      <c r="D28" s="1155"/>
      <c r="E28" s="1155"/>
      <c r="F28" s="1155"/>
      <c r="G28" s="1155"/>
      <c r="H28" s="1155"/>
      <c r="I28" s="1155"/>
      <c r="J28" s="1155"/>
      <c r="K28" s="1155"/>
      <c r="L28" s="675"/>
      <c r="M28" s="791"/>
    </row>
    <row r="29" spans="1:15" ht="7.5" customHeight="1" thickBot="1">
      <c r="A29" s="150"/>
      <c r="B29" s="150"/>
      <c r="C29" s="150"/>
      <c r="D29" s="150"/>
      <c r="E29" s="150"/>
      <c r="F29" s="150"/>
      <c r="G29" s="150"/>
      <c r="H29" s="150"/>
      <c r="I29" s="368"/>
      <c r="J29" s="150"/>
      <c r="K29" s="150"/>
      <c r="L29" s="675"/>
      <c r="M29" s="791"/>
    </row>
    <row r="30" spans="1:15" ht="28.15" customHeight="1">
      <c r="A30" s="675"/>
      <c r="B30" s="16"/>
      <c r="C30" s="151" t="s">
        <v>41</v>
      </c>
      <c r="D30" s="16"/>
      <c r="E30" s="16"/>
      <c r="F30" s="16"/>
      <c r="G30" s="16"/>
      <c r="H30" s="592" t="s">
        <v>42</v>
      </c>
      <c r="I30" s="593"/>
      <c r="J30" s="657" t="s">
        <v>43</v>
      </c>
      <c r="K30" s="16"/>
      <c r="L30" s="675"/>
      <c r="M30" s="791"/>
    </row>
    <row r="31" spans="1:15" ht="32.1" customHeight="1" thickBot="1">
      <c r="A31" s="675"/>
      <c r="B31" s="16"/>
      <c r="C31" s="650" t="s">
        <v>44</v>
      </c>
      <c r="D31" s="16"/>
      <c r="E31" s="731"/>
      <c r="F31" s="1142" t="s">
        <v>45</v>
      </c>
      <c r="G31" s="1142"/>
      <c r="H31" s="1118"/>
      <c r="I31" s="650"/>
      <c r="J31" s="370"/>
      <c r="K31" s="16"/>
      <c r="L31" s="675"/>
      <c r="M31" s="791"/>
    </row>
    <row r="32" spans="1:15" ht="36.75" customHeight="1" thickBot="1">
      <c r="A32" s="675"/>
      <c r="B32" s="16"/>
      <c r="C32" s="650" t="s">
        <v>46</v>
      </c>
      <c r="D32" s="16"/>
      <c r="E32" s="728"/>
      <c r="F32" s="1142"/>
      <c r="G32" s="1142"/>
      <c r="H32" s="1119"/>
      <c r="I32" s="650"/>
      <c r="J32" s="370"/>
      <c r="K32" s="16"/>
      <c r="L32" s="675"/>
      <c r="M32" s="791"/>
    </row>
    <row r="33" spans="1:13" ht="39" customHeight="1" thickBot="1">
      <c r="A33" s="675"/>
      <c r="B33" s="16"/>
      <c r="C33" s="650" t="s">
        <v>47</v>
      </c>
      <c r="D33" s="16"/>
      <c r="E33" s="728"/>
      <c r="F33" s="1142"/>
      <c r="G33" s="1142"/>
      <c r="H33" s="1119"/>
      <c r="I33" s="729"/>
      <c r="J33" s="370"/>
      <c r="K33" s="16"/>
      <c r="L33" s="675"/>
      <c r="M33" s="791"/>
    </row>
    <row r="34" spans="1:13" ht="36" customHeight="1" thickBot="1">
      <c r="A34" s="675"/>
      <c r="B34" s="16"/>
      <c r="C34" s="650" t="s">
        <v>48</v>
      </c>
      <c r="D34" s="16"/>
      <c r="E34" s="730" t="str">
        <f>IFERROR('P4 Filters'!B36/'P1 Chemicals'!B39,"")</f>
        <v/>
      </c>
      <c r="F34" s="159"/>
      <c r="G34" s="159"/>
      <c r="H34" s="655"/>
      <c r="I34" s="18"/>
      <c r="J34" s="370"/>
      <c r="K34" s="16"/>
      <c r="L34" s="675"/>
      <c r="M34" s="791"/>
    </row>
    <row r="35" spans="1:13" ht="28.15" customHeight="1">
      <c r="A35" s="675"/>
      <c r="B35" s="16"/>
      <c r="D35" s="16"/>
      <c r="E35" s="16"/>
      <c r="F35" s="16"/>
      <c r="G35" s="16"/>
      <c r="I35" s="16"/>
      <c r="J35" s="16"/>
      <c r="K35" s="16"/>
      <c r="L35" s="675"/>
      <c r="M35" s="791"/>
    </row>
    <row r="36" spans="1:13" ht="10.5" customHeight="1">
      <c r="A36" s="675"/>
      <c r="B36" s="675"/>
      <c r="C36" s="84"/>
      <c r="D36" s="82"/>
      <c r="E36" s="82"/>
      <c r="F36" s="82"/>
      <c r="G36" s="82"/>
      <c r="H36" s="82"/>
      <c r="I36" s="675"/>
      <c r="J36" s="82"/>
      <c r="K36" s="82"/>
      <c r="L36" s="675"/>
      <c r="M36" s="791"/>
    </row>
    <row r="37" spans="1:13" ht="27" customHeight="1">
      <c r="A37" s="116"/>
      <c r="B37" s="365" t="s">
        <v>49</v>
      </c>
      <c r="C37" s="38"/>
      <c r="D37" s="16"/>
      <c r="E37" s="16"/>
      <c r="F37" s="16"/>
      <c r="G37" s="16"/>
      <c r="H37" s="16"/>
      <c r="I37" s="116"/>
      <c r="J37" s="727" t="s">
        <v>50</v>
      </c>
      <c r="K37" s="16"/>
      <c r="L37" s="116"/>
      <c r="M37" s="791"/>
    </row>
    <row r="38" spans="1:13" ht="23.1" customHeight="1">
      <c r="A38" s="116"/>
      <c r="B38" s="362"/>
      <c r="C38" s="16" t="s">
        <v>51</v>
      </c>
      <c r="D38" s="16"/>
      <c r="E38" s="16"/>
      <c r="F38" s="16"/>
      <c r="G38" s="16"/>
      <c r="H38" s="16"/>
      <c r="I38" s="116"/>
      <c r="J38" s="16"/>
      <c r="K38" s="16"/>
      <c r="L38" s="116"/>
      <c r="M38" s="791"/>
    </row>
    <row r="39" spans="1:13" ht="23.1" customHeight="1">
      <c r="A39" s="116"/>
      <c r="B39" s="676"/>
      <c r="C39" s="16" t="s">
        <v>52</v>
      </c>
      <c r="D39" s="16"/>
      <c r="E39" s="16"/>
      <c r="F39" s="16"/>
      <c r="G39" s="16"/>
      <c r="H39" s="16"/>
      <c r="I39" s="116"/>
      <c r="J39" s="16"/>
      <c r="K39" s="16"/>
      <c r="L39" s="116"/>
      <c r="M39" s="791"/>
    </row>
    <row r="40" spans="1:13" ht="22.5" customHeight="1">
      <c r="A40" s="116"/>
      <c r="B40" s="363"/>
      <c r="C40" s="1158" t="s">
        <v>53</v>
      </c>
      <c r="D40" s="1158"/>
      <c r="E40" s="1158"/>
      <c r="F40" s="1158"/>
      <c r="G40" s="1158"/>
      <c r="H40" s="1158"/>
      <c r="I40" s="1158"/>
      <c r="J40" s="1158"/>
      <c r="K40" s="1158"/>
      <c r="M40" s="791"/>
    </row>
    <row r="41" spans="1:13" s="38" customFormat="1" ht="81" customHeight="1">
      <c r="B41" s="1149" t="s">
        <v>54</v>
      </c>
      <c r="C41" s="1149"/>
      <c r="D41" s="1149"/>
      <c r="E41" s="1149"/>
      <c r="F41" s="1149"/>
      <c r="G41" s="1149"/>
      <c r="H41" s="1149"/>
      <c r="I41" s="1149"/>
      <c r="J41" s="1149"/>
      <c r="K41" s="1149"/>
      <c r="M41" s="1076"/>
    </row>
    <row r="42" spans="1:13" ht="98.25" customHeight="1">
      <c r="A42" s="116"/>
      <c r="B42" s="1147"/>
      <c r="C42" s="1147"/>
      <c r="D42" s="1147"/>
      <c r="E42" s="1147"/>
      <c r="F42" s="1147"/>
      <c r="G42" s="1147"/>
      <c r="H42" s="1159"/>
      <c r="I42" s="1159"/>
      <c r="J42" s="708"/>
      <c r="K42" s="116"/>
      <c r="M42" s="791"/>
    </row>
    <row r="43" spans="1:13" ht="44.25" customHeight="1">
      <c r="A43" s="116"/>
      <c r="B43" s="152" t="s">
        <v>55</v>
      </c>
      <c r="C43" s="38"/>
      <c r="D43" s="38"/>
      <c r="E43" s="38"/>
      <c r="F43" s="38"/>
      <c r="G43" s="38"/>
      <c r="H43" s="1144" t="s">
        <v>56</v>
      </c>
      <c r="I43" s="1144"/>
      <c r="J43" s="1144"/>
      <c r="K43" s="116"/>
      <c r="M43" s="791"/>
    </row>
    <row r="44" spans="1:13" ht="10.5" customHeight="1">
      <c r="A44" s="867"/>
      <c r="B44" s="867"/>
      <c r="C44" s="1076"/>
      <c r="D44" s="873"/>
      <c r="E44" s="1077"/>
      <c r="F44" s="917"/>
      <c r="G44" s="873"/>
      <c r="H44" s="1078"/>
      <c r="I44" s="1076"/>
      <c r="J44" s="1076"/>
      <c r="K44" s="873"/>
      <c r="L44" s="867"/>
      <c r="M44" s="791"/>
    </row>
    <row r="45" spans="1:13" ht="34.9" customHeight="1">
      <c r="A45" s="116"/>
      <c r="B45" s="116"/>
      <c r="D45" s="86"/>
      <c r="E45" s="87"/>
      <c r="F45" s="87"/>
      <c r="G45" s="86"/>
      <c r="H45" s="87"/>
      <c r="I45" s="87"/>
      <c r="J45" s="87"/>
      <c r="K45" s="16"/>
      <c r="L45" s="116"/>
    </row>
    <row r="46" spans="1:13" ht="34.9" customHeight="1">
      <c r="A46" s="116"/>
      <c r="B46" s="116"/>
      <c r="C46" s="86"/>
      <c r="D46" s="86"/>
      <c r="E46" s="87"/>
      <c r="F46" s="87"/>
      <c r="G46" s="86"/>
      <c r="H46" s="87"/>
      <c r="I46" s="87"/>
      <c r="J46" s="87"/>
      <c r="K46" s="16"/>
      <c r="L46" s="116"/>
    </row>
    <row r="47" spans="1:13" ht="34.9" customHeight="1">
      <c r="A47" s="116"/>
      <c r="B47" s="116"/>
      <c r="C47" s="23"/>
      <c r="D47" s="86"/>
      <c r="E47" s="87"/>
      <c r="F47" s="87"/>
      <c r="G47" s="86"/>
      <c r="H47" s="24"/>
      <c r="I47" s="87"/>
      <c r="J47" s="87"/>
      <c r="K47" s="16"/>
      <c r="L47" s="116"/>
    </row>
    <row r="48" spans="1:13" ht="34.9" customHeight="1">
      <c r="A48" s="116"/>
      <c r="B48" s="116"/>
      <c r="C48" s="86"/>
      <c r="D48" s="86"/>
      <c r="E48" s="87"/>
      <c r="F48" s="87"/>
      <c r="G48" s="86"/>
      <c r="H48" s="87"/>
      <c r="I48" s="87"/>
      <c r="J48" s="87"/>
      <c r="K48" s="16"/>
      <c r="L48" s="116"/>
    </row>
    <row r="49" spans="1:12" ht="34.9" customHeight="1">
      <c r="A49" s="116"/>
      <c r="B49" s="116"/>
      <c r="C49" s="22"/>
      <c r="D49" s="16"/>
      <c r="E49" s="16"/>
      <c r="F49" s="16"/>
      <c r="G49" s="16"/>
      <c r="H49" s="16"/>
      <c r="I49" s="16"/>
      <c r="J49" s="16"/>
      <c r="K49" s="16"/>
      <c r="L49" s="116"/>
    </row>
    <row r="50" spans="1:12" ht="34.9" customHeight="1">
      <c r="A50" s="116"/>
      <c r="B50" s="116"/>
    </row>
    <row r="51" spans="1:12" ht="34.9" customHeight="1">
      <c r="A51" s="116"/>
      <c r="B51" s="116"/>
    </row>
    <row r="52" spans="1:12" ht="34.9" customHeight="1">
      <c r="A52" s="116"/>
      <c r="B52" s="116"/>
    </row>
    <row r="53" spans="1:12" ht="34.9" customHeight="1">
      <c r="A53" s="116"/>
      <c r="B53" s="116"/>
    </row>
    <row r="54" spans="1:12" ht="40.35" customHeight="1">
      <c r="A54" s="116"/>
      <c r="B54" s="116"/>
    </row>
    <row r="55" spans="1:12" ht="34.9" customHeight="1">
      <c r="A55" s="116"/>
      <c r="B55" s="116"/>
    </row>
  </sheetData>
  <sheetProtection algorithmName="SHA-512" hashValue="ICgIhk+JsvmmzJGbfUqS/761OCnmPaOKv3/oOhz2oJ22DlqjRmthP07S+4R1u3I6elplB7szv1cz2HcvxCI0Rg==" saltValue="bt8TyPGE1QaQVbU7KaT/vQ==" spinCount="100000" sheet="1" insertHyperlinks="0" selectLockedCells="1"/>
  <mergeCells count="17">
    <mergeCell ref="D7:G7"/>
    <mergeCell ref="F31:G33"/>
    <mergeCell ref="C1:C2"/>
    <mergeCell ref="H43:J43"/>
    <mergeCell ref="E18:G18"/>
    <mergeCell ref="D1:J1"/>
    <mergeCell ref="B42:G42"/>
    <mergeCell ref="B27:K27"/>
    <mergeCell ref="B41:K41"/>
    <mergeCell ref="C4:K4"/>
    <mergeCell ref="B9:E9"/>
    <mergeCell ref="E12:G12"/>
    <mergeCell ref="H6:H8"/>
    <mergeCell ref="B28:K28"/>
    <mergeCell ref="J6:L6"/>
    <mergeCell ref="C40:K40"/>
    <mergeCell ref="H42:I42"/>
  </mergeCells>
  <phoneticPr fontId="0" type="noConversion"/>
  <conditionalFormatting sqref="D7">
    <cfRule type="expression" priority="1">
      <formula>"IF($F$6=""No"",""Note: if plant was not operating, provide an explanation on Comments page"","" "")"</formula>
    </cfRule>
  </conditionalFormatting>
  <dataValidations count="4">
    <dataValidation type="list" allowBlank="1" showInputMessage="1" showErrorMessage="1" sqref="J13" xr:uid="{515727A1-6029-48EE-B0CF-FBE770A4FEB3}">
      <formula1>$O$13:$O$16</formula1>
    </dataValidation>
    <dataValidation type="list" allowBlank="1" showInputMessage="1" showErrorMessage="1" sqref="J12" xr:uid="{2553B8CB-CEC0-48B4-BF04-FA1581CE421C}">
      <formula1>$N$13:$N$20</formula1>
    </dataValidation>
    <dataValidation type="list" allowBlank="1" showInputMessage="1" showErrorMessage="1" sqref="G11" xr:uid="{ADBD8BFD-F535-4A5D-9EE3-74AAF62D03F4}">
      <formula1>$P$13:$P$16</formula1>
    </dataValidation>
    <dataValidation type="custom" allowBlank="1" showInputMessage="1" showErrorMessage="1" error="You must enter the PWSID in this format: KY1234567. Please leave no spaces or other characters between 'KY' and the number." sqref="E11" xr:uid="{CB533A92-9ECA-4A88-8AEA-23127880C1C7}">
      <formula1>AND(ISNUMBER(FIND("KY",E11)),LEN(E11)=9)</formula1>
    </dataValidation>
  </dataValidations>
  <hyperlinks>
    <hyperlink ref="J37" r:id="rId1" xr:uid="{5616C767-EE00-4C3E-8A5C-60A8CB77906F}"/>
    <hyperlink ref="C3" location="Bookmarks!A1" display="Return to Bookmarks" xr:uid="{C2E6642A-D224-47EA-8722-DE6579BF0116}"/>
  </hyperlinks>
  <printOptions horizontalCentered="1"/>
  <pageMargins left="1" right="0.5" top="0.25" bottom="0.25" header="0" footer="0"/>
  <pageSetup scale="58" orientation="portrait" cellComments="asDisplayed" r:id="rId2"/>
  <headerFooter alignWithMargins="0"/>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19D6970-59A0-460D-AFCD-1281DD41CE25}">
          <x14:formula1>
            <xm:f>Dropdowns!$A$2:$A$3</xm:f>
          </x14:formula1>
          <xm:sqref>F6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99"/>
    <pageSetUpPr autoPageBreaks="0" fitToPage="1"/>
  </sheetPr>
  <dimension ref="A1:N51"/>
  <sheetViews>
    <sheetView showGridLines="0" zoomScale="90" zoomScaleNormal="90" workbookViewId="0">
      <selection activeCell="J12" sqref="J12:L12"/>
    </sheetView>
  </sheetViews>
  <sheetFormatPr defaultColWidth="9" defaultRowHeight="12.75"/>
  <cols>
    <col min="1" max="1" width="3.42578125" style="107" customWidth="1"/>
    <col min="2" max="3" width="9" style="107" customWidth="1"/>
    <col min="4" max="4" width="9.28515625" style="107" customWidth="1"/>
    <col min="5" max="5" width="10.7109375" style="107" customWidth="1"/>
    <col min="6" max="6" width="10.28515625" style="107" customWidth="1"/>
    <col min="7" max="7" width="8.7109375" style="107" customWidth="1"/>
    <col min="8" max="8" width="9" style="107" customWidth="1"/>
    <col min="9" max="9" width="11.42578125" style="107" customWidth="1"/>
    <col min="10" max="10" width="9.28515625" style="107" customWidth="1"/>
    <col min="11" max="11" width="7.5703125" style="107" customWidth="1"/>
    <col min="12" max="12" width="19.5703125" style="107" customWidth="1"/>
    <col min="13" max="13" width="1" style="107" customWidth="1"/>
    <col min="14" max="14" width="2" style="107" customWidth="1"/>
    <col min="15" max="16" width="9.28515625" style="107" customWidth="1"/>
    <col min="17" max="17" width="9" style="107" customWidth="1"/>
    <col min="18" max="16384" width="9" style="107"/>
  </cols>
  <sheetData>
    <row r="1" spans="1:14" ht="12.75" customHeight="1">
      <c r="A1" s="111" t="s">
        <v>515</v>
      </c>
      <c r="D1" s="1575" t="s">
        <v>730</v>
      </c>
      <c r="N1" s="1070"/>
    </row>
    <row r="2" spans="1:14" ht="13.5" thickBot="1">
      <c r="A2" s="112" t="s">
        <v>516</v>
      </c>
      <c r="D2" s="1576"/>
      <c r="I2" s="114" t="s">
        <v>517</v>
      </c>
      <c r="K2" s="1556">
        <f>'CoverSheet '!E11</f>
        <v>0</v>
      </c>
      <c r="L2" s="1556"/>
      <c r="N2" s="1070"/>
    </row>
    <row r="3" spans="1:14" ht="13.5" thickBot="1">
      <c r="I3" s="103" t="s">
        <v>11</v>
      </c>
      <c r="K3" s="1544">
        <f>'CoverSheet '!G11</f>
        <v>0</v>
      </c>
      <c r="L3" s="1544"/>
      <c r="N3" s="1070"/>
    </row>
    <row r="4" spans="1:14" ht="13.5" thickBot="1">
      <c r="I4" s="103" t="s">
        <v>518</v>
      </c>
      <c r="K4" s="1544">
        <f>'CoverSheet '!J11</f>
        <v>0</v>
      </c>
      <c r="L4" s="1544"/>
      <c r="N4" s="1070"/>
    </row>
    <row r="5" spans="1:14" ht="13.5" thickBot="1">
      <c r="I5" s="103" t="s">
        <v>519</v>
      </c>
      <c r="K5" s="1544">
        <f>'CoverSheet '!E13</f>
        <v>0</v>
      </c>
      <c r="L5" s="1544"/>
      <c r="N5" s="1070"/>
    </row>
    <row r="6" spans="1:14" ht="16.5">
      <c r="K6" s="104"/>
      <c r="L6" s="104"/>
      <c r="M6" s="105"/>
      <c r="N6" s="1070"/>
    </row>
    <row r="7" spans="1:14" ht="26.25">
      <c r="A7" s="1557" t="s">
        <v>520</v>
      </c>
      <c r="B7" s="1557"/>
      <c r="C7" s="1557"/>
      <c r="D7" s="1557"/>
      <c r="E7" s="1557"/>
      <c r="F7" s="1557"/>
      <c r="G7" s="1557"/>
      <c r="H7" s="1557"/>
      <c r="I7" s="1557"/>
      <c r="J7" s="1557"/>
      <c r="K7" s="1557"/>
      <c r="L7" s="1557"/>
      <c r="M7" s="105"/>
      <c r="N7" s="1070"/>
    </row>
    <row r="8" spans="1:14" ht="18">
      <c r="A8" s="1558" t="s">
        <v>492</v>
      </c>
      <c r="B8" s="1558"/>
      <c r="C8" s="1558"/>
      <c r="D8" s="1558"/>
      <c r="E8" s="1558"/>
      <c r="F8" s="1558"/>
      <c r="G8" s="1558"/>
      <c r="H8" s="1558"/>
      <c r="I8" s="1558"/>
      <c r="J8" s="1558"/>
      <c r="K8" s="1558"/>
      <c r="L8" s="1558"/>
      <c r="N8" s="1070"/>
    </row>
    <row r="9" spans="1:14">
      <c r="N9" s="1070"/>
    </row>
    <row r="10" spans="1:14" ht="20.25">
      <c r="A10" s="1555" t="s">
        <v>521</v>
      </c>
      <c r="B10" s="1555"/>
      <c r="C10" s="1555"/>
      <c r="D10" s="1555"/>
      <c r="E10" s="1555"/>
      <c r="F10" s="1555"/>
      <c r="G10" s="1555"/>
      <c r="H10" s="1555"/>
      <c r="I10" s="1555"/>
      <c r="J10" s="1555"/>
      <c r="K10" s="1555"/>
      <c r="L10" s="1555"/>
      <c r="N10" s="1070"/>
    </row>
    <row r="11" spans="1:14">
      <c r="N11" s="1070"/>
    </row>
    <row r="12" spans="1:14" ht="16.149999999999999" customHeight="1" thickBot="1">
      <c r="B12" s="1563" t="s">
        <v>522</v>
      </c>
      <c r="C12" s="1563"/>
      <c r="D12" s="1563"/>
      <c r="E12" s="1564"/>
      <c r="F12" s="104"/>
      <c r="G12" s="1553" t="s">
        <v>523</v>
      </c>
      <c r="H12" s="1553"/>
      <c r="I12" s="1553"/>
      <c r="J12" s="1565"/>
      <c r="K12" s="1565"/>
      <c r="L12" s="1565"/>
      <c r="N12" s="1070"/>
    </row>
    <row r="13" spans="1:14" ht="7.5" customHeight="1">
      <c r="G13" s="673"/>
      <c r="H13" s="673"/>
      <c r="I13" s="673"/>
      <c r="J13" s="673"/>
      <c r="K13" s="673"/>
      <c r="L13" s="673"/>
      <c r="M13" s="673"/>
      <c r="N13" s="1070"/>
    </row>
    <row r="14" spans="1:14" ht="15" customHeight="1" thickBot="1">
      <c r="B14" s="1550" t="s">
        <v>524</v>
      </c>
      <c r="C14" s="1551"/>
      <c r="D14" s="1552"/>
      <c r="E14" s="668"/>
      <c r="F14" s="106"/>
      <c r="N14" s="1070"/>
    </row>
    <row r="15" spans="1:14" ht="15" customHeight="1" thickBot="1">
      <c r="B15" s="1550" t="s">
        <v>525</v>
      </c>
      <c r="C15" s="1551"/>
      <c r="D15" s="1552"/>
      <c r="E15" s="669"/>
      <c r="F15" s="106"/>
      <c r="G15" s="1553" t="s">
        <v>526</v>
      </c>
      <c r="H15" s="1553"/>
      <c r="I15" s="1553"/>
      <c r="J15" s="1553"/>
      <c r="K15" s="1553"/>
      <c r="L15" s="1553"/>
      <c r="M15" s="672"/>
      <c r="N15" s="1070"/>
    </row>
    <row r="16" spans="1:14" ht="15" customHeight="1" thickBot="1">
      <c r="B16" s="1550" t="s">
        <v>527</v>
      </c>
      <c r="C16" s="1551"/>
      <c r="D16" s="1552"/>
      <c r="E16" s="669"/>
      <c r="F16" s="106"/>
      <c r="G16" s="1559" t="s">
        <v>528</v>
      </c>
      <c r="H16" s="1552"/>
      <c r="I16" s="1552"/>
      <c r="J16" s="1552"/>
      <c r="K16" s="1552"/>
      <c r="L16" s="632"/>
      <c r="N16" s="1070"/>
    </row>
    <row r="17" spans="1:14" ht="23.85" customHeight="1" thickBot="1">
      <c r="B17" s="670" t="s">
        <v>529</v>
      </c>
      <c r="C17" s="671"/>
      <c r="E17" s="118" t="str">
        <f>MMYYYY</f>
        <v>05/2025</v>
      </c>
      <c r="F17" s="106"/>
      <c r="G17" s="106"/>
      <c r="N17" s="1070"/>
    </row>
    <row r="18" spans="1:14" ht="19.899999999999999" customHeight="1">
      <c r="B18" s="1560" t="s">
        <v>530</v>
      </c>
      <c r="C18" s="1561"/>
      <c r="D18" s="1561"/>
      <c r="E18" s="1561"/>
      <c r="F18" s="1561"/>
      <c r="G18" s="1552"/>
      <c r="J18" s="113" t="s">
        <v>531</v>
      </c>
      <c r="N18" s="1070"/>
    </row>
    <row r="19" spans="1:14" ht="15.6" customHeight="1" thickBot="1">
      <c r="B19" s="1562" t="s">
        <v>532</v>
      </c>
      <c r="C19" s="1562"/>
      <c r="D19" s="1562"/>
      <c r="E19" s="1562"/>
      <c r="F19" s="1562"/>
      <c r="G19" s="1553"/>
      <c r="H19" s="1553"/>
      <c r="N19" s="1070"/>
    </row>
    <row r="20" spans="1:14" ht="13.5" thickTop="1">
      <c r="B20" s="1071" t="s">
        <v>533</v>
      </c>
      <c r="C20" s="1072"/>
      <c r="D20" s="1073" t="s">
        <v>534</v>
      </c>
      <c r="E20" s="1071" t="s">
        <v>533</v>
      </c>
      <c r="F20" s="1072"/>
      <c r="G20" s="1073" t="s">
        <v>534</v>
      </c>
      <c r="I20" s="106"/>
      <c r="J20" s="1554" t="s">
        <v>535</v>
      </c>
      <c r="K20" s="1554"/>
      <c r="L20" s="633"/>
      <c r="N20" s="1070"/>
    </row>
    <row r="21" spans="1:14" ht="13.5" thickBot="1">
      <c r="B21" s="108"/>
      <c r="C21" s="624"/>
      <c r="D21" s="628"/>
      <c r="E21" s="108"/>
      <c r="F21" s="626"/>
      <c r="G21" s="630"/>
      <c r="I21" s="106"/>
      <c r="J21" s="1554" t="s">
        <v>536</v>
      </c>
      <c r="K21" s="1554"/>
      <c r="L21" s="633"/>
      <c r="N21" s="1070"/>
    </row>
    <row r="22" spans="1:14" ht="13.5" thickBot="1">
      <c r="B22" s="109"/>
      <c r="C22" s="625"/>
      <c r="D22" s="629"/>
      <c r="E22" s="109"/>
      <c r="F22" s="625"/>
      <c r="G22" s="631"/>
      <c r="I22" s="106"/>
      <c r="J22" s="1554" t="s">
        <v>537</v>
      </c>
      <c r="K22" s="1554"/>
      <c r="L22" s="633"/>
      <c r="N22" s="1070"/>
    </row>
    <row r="23" spans="1:14" ht="13.5" thickBot="1">
      <c r="B23" s="109"/>
      <c r="C23" s="625"/>
      <c r="D23" s="629"/>
      <c r="E23" s="109"/>
      <c r="F23" s="625"/>
      <c r="G23" s="631"/>
      <c r="I23" s="106"/>
      <c r="J23" s="1554" t="s">
        <v>538</v>
      </c>
      <c r="K23" s="1554"/>
      <c r="L23" s="633"/>
      <c r="N23" s="1070"/>
    </row>
    <row r="24" spans="1:14" ht="13.5" thickBot="1">
      <c r="B24" s="109"/>
      <c r="C24" s="625"/>
      <c r="D24" s="629"/>
      <c r="E24" s="109"/>
      <c r="F24" s="625"/>
      <c r="G24" s="627"/>
      <c r="I24" s="106"/>
      <c r="J24" s="1552"/>
      <c r="K24" s="1552"/>
      <c r="L24" s="106"/>
      <c r="N24" s="1070"/>
    </row>
    <row r="25" spans="1:14" ht="13.5" thickBot="1">
      <c r="B25" s="109"/>
      <c r="C25" s="625"/>
      <c r="D25" s="629"/>
      <c r="E25" s="109"/>
      <c r="F25" s="625"/>
      <c r="G25" s="627"/>
      <c r="I25" s="106"/>
      <c r="J25" s="1552"/>
      <c r="K25" s="1552"/>
      <c r="L25" s="106"/>
      <c r="N25" s="1070"/>
    </row>
    <row r="26" spans="1:14" ht="13.5" thickBot="1">
      <c r="B26" s="109"/>
      <c r="C26" s="625"/>
      <c r="D26" s="629"/>
      <c r="E26" s="109"/>
      <c r="F26" s="625"/>
      <c r="G26" s="627"/>
      <c r="I26" s="106"/>
      <c r="J26" s="1552"/>
      <c r="K26" s="1552"/>
      <c r="L26" s="106"/>
      <c r="N26" s="1070"/>
    </row>
    <row r="27" spans="1:14" ht="5.65" customHeight="1">
      <c r="B27" s="110"/>
      <c r="C27" s="106"/>
      <c r="D27" s="106"/>
      <c r="E27" s="106"/>
      <c r="F27" s="106"/>
      <c r="G27" s="106"/>
      <c r="H27" s="106"/>
      <c r="I27" s="106"/>
      <c r="K27" s="106"/>
      <c r="L27" s="106"/>
      <c r="N27" s="1070"/>
    </row>
    <row r="28" spans="1:14">
      <c r="N28" s="1070"/>
    </row>
    <row r="29" spans="1:14">
      <c r="A29" s="1070"/>
      <c r="B29" s="1548" t="s">
        <v>539</v>
      </c>
      <c r="C29" s="1548"/>
      <c r="D29" s="1548"/>
      <c r="E29" s="1548"/>
      <c r="F29" s="1548"/>
      <c r="G29" s="1075"/>
      <c r="H29" s="1070"/>
      <c r="I29" s="1070"/>
      <c r="J29" s="1070"/>
      <c r="K29" s="1070"/>
      <c r="L29" s="1070"/>
      <c r="M29" s="1070"/>
      <c r="N29" s="1070"/>
    </row>
    <row r="30" spans="1:14" ht="16.149999999999999" customHeight="1">
      <c r="A30" s="1070"/>
      <c r="B30" s="1070"/>
      <c r="C30" s="1070"/>
      <c r="D30" s="1070"/>
      <c r="E30" s="1539" t="s">
        <v>540</v>
      </c>
      <c r="F30" s="1539"/>
      <c r="G30" s="1074"/>
      <c r="H30" s="1070"/>
      <c r="I30" s="1070"/>
      <c r="J30" s="1074"/>
      <c r="K30" s="1070"/>
      <c r="L30" s="1070"/>
      <c r="M30" s="1070"/>
      <c r="N30" s="1070"/>
    </row>
    <row r="31" spans="1:14">
      <c r="A31" s="1070"/>
      <c r="B31" s="1070"/>
      <c r="C31" s="1070"/>
      <c r="D31" s="1070"/>
      <c r="E31" s="1539" t="s">
        <v>541</v>
      </c>
      <c r="F31" s="1539"/>
      <c r="G31" s="1074"/>
      <c r="H31" s="1539" t="s">
        <v>542</v>
      </c>
      <c r="I31" s="1539"/>
      <c r="J31" s="1074"/>
      <c r="K31" s="1539" t="s">
        <v>543</v>
      </c>
      <c r="L31" s="1549"/>
      <c r="M31" s="1549"/>
      <c r="N31" s="1070"/>
    </row>
    <row r="32" spans="1:14" ht="18.75" customHeight="1" thickBot="1">
      <c r="B32" s="1537" t="s">
        <v>544</v>
      </c>
      <c r="C32" s="1537"/>
      <c r="D32" s="1537"/>
      <c r="E32" s="1540"/>
      <c r="F32" s="1540"/>
      <c r="G32" s="106"/>
      <c r="H32" s="1540"/>
      <c r="I32" s="1540"/>
      <c r="J32" s="106"/>
      <c r="K32" s="1540"/>
      <c r="L32" s="1547"/>
      <c r="M32" s="1547"/>
      <c r="N32" s="1070"/>
    </row>
    <row r="33" spans="1:14" ht="15" customHeight="1" thickBot="1">
      <c r="B33" s="1537" t="s">
        <v>545</v>
      </c>
      <c r="C33" s="1537"/>
      <c r="D33" s="1537"/>
      <c r="E33" s="1540"/>
      <c r="F33" s="1540"/>
      <c r="G33" s="106"/>
      <c r="H33" s="1540"/>
      <c r="I33" s="1540"/>
      <c r="J33" s="106"/>
      <c r="K33" s="1542"/>
      <c r="L33" s="1546"/>
      <c r="M33" s="1546"/>
      <c r="N33" s="1070"/>
    </row>
    <row r="34" spans="1:14" ht="15" customHeight="1" thickBot="1">
      <c r="B34" s="1537" t="s">
        <v>546</v>
      </c>
      <c r="C34" s="1537"/>
      <c r="D34" s="1537"/>
      <c r="E34" s="1538"/>
      <c r="F34" s="1538"/>
      <c r="G34" s="106"/>
      <c r="H34" s="1538"/>
      <c r="I34" s="1538"/>
      <c r="J34" s="106"/>
      <c r="K34" s="1536"/>
      <c r="L34" s="1545"/>
      <c r="M34" s="1545"/>
      <c r="N34" s="1070"/>
    </row>
    <row r="35" spans="1:14" ht="15" customHeight="1" thickBot="1">
      <c r="B35" s="1537" t="s">
        <v>547</v>
      </c>
      <c r="C35" s="1537"/>
      <c r="D35" s="1537"/>
      <c r="E35" s="1538"/>
      <c r="F35" s="1538"/>
      <c r="G35" s="106"/>
      <c r="H35" s="1538"/>
      <c r="I35" s="1538"/>
      <c r="J35" s="106"/>
      <c r="K35" s="1536"/>
      <c r="L35" s="1545"/>
      <c r="M35" s="1545"/>
      <c r="N35" s="1070"/>
    </row>
    <row r="36" spans="1:14" ht="15" customHeight="1" thickBot="1">
      <c r="A36" s="1537" t="s">
        <v>548</v>
      </c>
      <c r="B36" s="1537"/>
      <c r="C36" s="1537"/>
      <c r="D36" s="1537"/>
      <c r="E36" s="1538"/>
      <c r="F36" s="1538"/>
      <c r="G36" s="106"/>
      <c r="H36" s="1538"/>
      <c r="I36" s="1538"/>
      <c r="J36" s="106"/>
      <c r="K36" s="1536"/>
      <c r="L36" s="1545"/>
      <c r="M36" s="1545"/>
      <c r="N36" s="1070"/>
    </row>
    <row r="37" spans="1:14" ht="15" customHeight="1" thickBot="1">
      <c r="B37" s="1537" t="s">
        <v>549</v>
      </c>
      <c r="C37" s="1537"/>
      <c r="D37" s="1537"/>
      <c r="E37" s="1540"/>
      <c r="F37" s="1540"/>
      <c r="G37" s="106"/>
      <c r="H37" s="1540"/>
      <c r="I37" s="1540"/>
      <c r="J37" s="106"/>
      <c r="K37" s="1542"/>
      <c r="L37" s="1542"/>
      <c r="M37" s="1542"/>
      <c r="N37" s="1070"/>
    </row>
    <row r="38" spans="1:14" ht="15" customHeight="1" thickBot="1">
      <c r="B38" s="667"/>
      <c r="C38" s="667"/>
      <c r="D38" s="667"/>
      <c r="E38" s="1542"/>
      <c r="F38" s="1542"/>
      <c r="G38" s="106"/>
      <c r="H38" s="1542"/>
      <c r="I38" s="1542"/>
      <c r="J38" s="106"/>
      <c r="K38" s="1542"/>
      <c r="L38" s="1542"/>
      <c r="M38" s="1542"/>
      <c r="N38" s="1070"/>
    </row>
    <row r="39" spans="1:14" ht="24.4" customHeight="1" thickBot="1">
      <c r="B39" s="1537" t="s">
        <v>550</v>
      </c>
      <c r="C39" s="1537"/>
      <c r="D39" s="1537"/>
      <c r="E39" s="1543"/>
      <c r="F39" s="1543"/>
      <c r="G39" s="117"/>
      <c r="H39" s="1543"/>
      <c r="I39" s="1543"/>
      <c r="J39" s="117"/>
      <c r="K39" s="1543"/>
      <c r="L39" s="1543"/>
      <c r="M39" s="1543"/>
      <c r="N39" s="1070"/>
    </row>
    <row r="40" spans="1:14" ht="15" customHeight="1">
      <c r="B40" s="667"/>
      <c r="C40" s="667"/>
      <c r="D40" s="667"/>
      <c r="E40" s="106"/>
      <c r="F40" s="106"/>
      <c r="G40" s="106"/>
      <c r="H40" s="106"/>
      <c r="I40" s="106"/>
      <c r="J40" s="106"/>
      <c r="K40" s="106"/>
      <c r="L40" s="106"/>
      <c r="N40" s="1070"/>
    </row>
    <row r="41" spans="1:14" ht="15" customHeight="1">
      <c r="A41" s="1070"/>
      <c r="B41" s="1070"/>
      <c r="C41" s="1070"/>
      <c r="D41" s="1070"/>
      <c r="E41" s="1539" t="s">
        <v>551</v>
      </c>
      <c r="F41" s="1539"/>
      <c r="G41" s="1074"/>
      <c r="H41" s="1539" t="s">
        <v>552</v>
      </c>
      <c r="I41" s="1539"/>
      <c r="J41" s="1074"/>
      <c r="K41" s="1539" t="s">
        <v>553</v>
      </c>
      <c r="L41" s="1539"/>
      <c r="M41" s="1539"/>
      <c r="N41" s="1070"/>
    </row>
    <row r="42" spans="1:14" ht="15" customHeight="1" thickBot="1">
      <c r="B42" s="1537" t="s">
        <v>544</v>
      </c>
      <c r="C42" s="1537"/>
      <c r="D42" s="1537"/>
      <c r="E42" s="1540"/>
      <c r="F42" s="1540"/>
      <c r="G42" s="106"/>
      <c r="H42" s="1540"/>
      <c r="I42" s="1540"/>
      <c r="J42" s="106"/>
      <c r="K42" s="1540"/>
      <c r="L42" s="1540"/>
      <c r="M42" s="1540"/>
      <c r="N42" s="1070"/>
    </row>
    <row r="43" spans="1:14" ht="15" customHeight="1" thickBot="1">
      <c r="B43" s="1537" t="s">
        <v>545</v>
      </c>
      <c r="C43" s="1537"/>
      <c r="D43" s="1537"/>
      <c r="E43" s="1540"/>
      <c r="F43" s="1540"/>
      <c r="G43" s="106"/>
      <c r="H43" s="1540"/>
      <c r="I43" s="1540"/>
      <c r="J43" s="106"/>
      <c r="K43" s="1542"/>
      <c r="L43" s="1542"/>
      <c r="M43" s="1542"/>
      <c r="N43" s="1070"/>
    </row>
    <row r="44" spans="1:14" ht="15" customHeight="1" thickBot="1">
      <c r="B44" s="1537" t="s">
        <v>546</v>
      </c>
      <c r="C44" s="1537"/>
      <c r="D44" s="1537"/>
      <c r="E44" s="1538"/>
      <c r="F44" s="1538"/>
      <c r="G44" s="106"/>
      <c r="H44" s="1538"/>
      <c r="I44" s="1538"/>
      <c r="J44" s="106"/>
      <c r="K44" s="1536"/>
      <c r="L44" s="1536"/>
      <c r="M44" s="1536"/>
      <c r="N44" s="1070"/>
    </row>
    <row r="45" spans="1:14" ht="15" customHeight="1" thickBot="1">
      <c r="B45" s="1537" t="s">
        <v>547</v>
      </c>
      <c r="C45" s="1537"/>
      <c r="D45" s="1537"/>
      <c r="E45" s="1538"/>
      <c r="F45" s="1538"/>
      <c r="G45" s="106"/>
      <c r="H45" s="1538"/>
      <c r="I45" s="1538"/>
      <c r="J45" s="106"/>
      <c r="K45" s="1536"/>
      <c r="L45" s="1536"/>
      <c r="M45" s="1536"/>
      <c r="N45" s="1070"/>
    </row>
    <row r="46" spans="1:14" ht="15" customHeight="1" thickBot="1">
      <c r="A46" s="1537" t="s">
        <v>548</v>
      </c>
      <c r="B46" s="1537"/>
      <c r="C46" s="1537"/>
      <c r="D46" s="1537"/>
      <c r="E46" s="1538"/>
      <c r="F46" s="1538"/>
      <c r="G46" s="106"/>
      <c r="H46" s="1538"/>
      <c r="I46" s="1538"/>
      <c r="J46" s="106"/>
      <c r="K46" s="1536"/>
      <c r="L46" s="1536"/>
      <c r="M46" s="1536"/>
      <c r="N46" s="1070"/>
    </row>
    <row r="47" spans="1:14" ht="15" customHeight="1" thickBot="1">
      <c r="B47" s="1537" t="s">
        <v>549</v>
      </c>
      <c r="C47" s="1537"/>
      <c r="D47" s="1537"/>
      <c r="E47" s="1540"/>
      <c r="F47" s="1540"/>
      <c r="G47" s="106"/>
      <c r="H47" s="1540"/>
      <c r="I47" s="1540"/>
      <c r="J47" s="106"/>
      <c r="K47" s="1542"/>
      <c r="L47" s="1542"/>
      <c r="M47" s="1542"/>
      <c r="N47" s="1070"/>
    </row>
    <row r="48" spans="1:14" ht="15" customHeight="1" thickBot="1">
      <c r="B48" s="667"/>
      <c r="C48" s="667"/>
      <c r="D48" s="667"/>
      <c r="E48" s="1541"/>
      <c r="F48" s="1541"/>
      <c r="G48" s="106"/>
      <c r="H48" s="1541"/>
      <c r="I48" s="1541"/>
      <c r="J48" s="106"/>
      <c r="K48" s="1541"/>
      <c r="L48" s="1541"/>
      <c r="M48" s="669"/>
      <c r="N48" s="1070"/>
    </row>
    <row r="49" spans="1:14" ht="24.4" customHeight="1" thickBot="1">
      <c r="B49" s="1537" t="s">
        <v>550</v>
      </c>
      <c r="C49" s="1537"/>
      <c r="D49" s="1537"/>
      <c r="E49" s="1543"/>
      <c r="F49" s="1543"/>
      <c r="G49" s="117"/>
      <c r="H49" s="1543"/>
      <c r="I49" s="1543"/>
      <c r="J49" s="117"/>
      <c r="K49" s="1543"/>
      <c r="L49" s="1543"/>
      <c r="M49" s="1543"/>
      <c r="N49" s="1070"/>
    </row>
    <row r="50" spans="1:14">
      <c r="N50" s="1070"/>
    </row>
    <row r="51" spans="1:14" ht="10.5" customHeight="1">
      <c r="A51" s="1070"/>
      <c r="B51" s="1070"/>
      <c r="C51" s="1070"/>
      <c r="D51" s="1070"/>
      <c r="E51" s="1070"/>
      <c r="F51" s="1070"/>
      <c r="G51" s="1070"/>
      <c r="H51" s="1070"/>
      <c r="I51" s="1070"/>
      <c r="J51" s="1070"/>
      <c r="K51" s="1070"/>
      <c r="L51" s="1070"/>
      <c r="M51" s="1070"/>
      <c r="N51" s="1070"/>
    </row>
  </sheetData>
  <sheetProtection algorithmName="SHA-512" hashValue="fFA/3viR1etIKI1WFrFtWdKLIcHO1euyO7PfI0W8aXpelgmFCUnPXRLqpZvJ4BV+An140m+9iqbxk4vNWTRHYA==" saltValue="sY/YPvmtcNTQpC3tCDibCA==" spinCount="100000" sheet="1" formatCells="0" formatColumns="0" selectLockedCells="1"/>
  <mergeCells count="95">
    <mergeCell ref="J26:K26"/>
    <mergeCell ref="J25:K25"/>
    <mergeCell ref="A10:L10"/>
    <mergeCell ref="K2:L2"/>
    <mergeCell ref="K3:L3"/>
    <mergeCell ref="K5:L5"/>
    <mergeCell ref="A7:L7"/>
    <mergeCell ref="A8:L8"/>
    <mergeCell ref="B16:D16"/>
    <mergeCell ref="G16:K16"/>
    <mergeCell ref="B18:G18"/>
    <mergeCell ref="B19:H19"/>
    <mergeCell ref="J20:K20"/>
    <mergeCell ref="B12:E12"/>
    <mergeCell ref="G12:I12"/>
    <mergeCell ref="J12:L12"/>
    <mergeCell ref="B14:D14"/>
    <mergeCell ref="B15:D15"/>
    <mergeCell ref="G15:L15"/>
    <mergeCell ref="J23:K23"/>
    <mergeCell ref="J24:K24"/>
    <mergeCell ref="J21:K21"/>
    <mergeCell ref="J22:K22"/>
    <mergeCell ref="B34:D34"/>
    <mergeCell ref="E34:F34"/>
    <mergeCell ref="H34:I34"/>
    <mergeCell ref="K34:M34"/>
    <mergeCell ref="B35:D35"/>
    <mergeCell ref="E35:F35"/>
    <mergeCell ref="H35:I35"/>
    <mergeCell ref="K35:M35"/>
    <mergeCell ref="B29:F29"/>
    <mergeCell ref="E30:F30"/>
    <mergeCell ref="E31:F31"/>
    <mergeCell ref="H31:I31"/>
    <mergeCell ref="K31:M31"/>
    <mergeCell ref="B33:D33"/>
    <mergeCell ref="E33:F33"/>
    <mergeCell ref="H33:I33"/>
    <mergeCell ref="K33:M33"/>
    <mergeCell ref="B32:D32"/>
    <mergeCell ref="E32:F32"/>
    <mergeCell ref="H32:I32"/>
    <mergeCell ref="K32:M32"/>
    <mergeCell ref="H38:I38"/>
    <mergeCell ref="K38:M38"/>
    <mergeCell ref="B39:D39"/>
    <mergeCell ref="E39:F39"/>
    <mergeCell ref="H39:I39"/>
    <mergeCell ref="K39:M39"/>
    <mergeCell ref="E38:F38"/>
    <mergeCell ref="H36:I36"/>
    <mergeCell ref="K36:M36"/>
    <mergeCell ref="B37:D37"/>
    <mergeCell ref="E37:F37"/>
    <mergeCell ref="H37:I37"/>
    <mergeCell ref="K37:M37"/>
    <mergeCell ref="B49:D49"/>
    <mergeCell ref="E49:F49"/>
    <mergeCell ref="H49:I49"/>
    <mergeCell ref="K49:M49"/>
    <mergeCell ref="K4:L4"/>
    <mergeCell ref="A46:D46"/>
    <mergeCell ref="E46:F46"/>
    <mergeCell ref="H46:I46"/>
    <mergeCell ref="K46:M46"/>
    <mergeCell ref="B47:D47"/>
    <mergeCell ref="B43:D43"/>
    <mergeCell ref="E43:F43"/>
    <mergeCell ref="H43:I43"/>
    <mergeCell ref="K43:M43"/>
    <mergeCell ref="K44:M44"/>
    <mergeCell ref="B45:D45"/>
    <mergeCell ref="E48:F48"/>
    <mergeCell ref="H48:I48"/>
    <mergeCell ref="K48:L48"/>
    <mergeCell ref="E47:F47"/>
    <mergeCell ref="H47:I47"/>
    <mergeCell ref="K47:M47"/>
    <mergeCell ref="D1:D2"/>
    <mergeCell ref="K45:M45"/>
    <mergeCell ref="B44:D44"/>
    <mergeCell ref="E44:F44"/>
    <mergeCell ref="H44:I44"/>
    <mergeCell ref="E45:F45"/>
    <mergeCell ref="H45:I45"/>
    <mergeCell ref="E41:F41"/>
    <mergeCell ref="H41:I41"/>
    <mergeCell ref="K41:M41"/>
    <mergeCell ref="B42:D42"/>
    <mergeCell ref="E42:F42"/>
    <mergeCell ref="H42:I42"/>
    <mergeCell ref="K42:M42"/>
    <mergeCell ref="A36:D36"/>
    <mergeCell ref="E36:F36"/>
  </mergeCells>
  <dataValidations count="2">
    <dataValidation type="whole" allowBlank="1" showInputMessage="1" showErrorMessage="1" errorTitle="Numbers only" error="Please enter the population size and no other text." sqref="J12:L12" xr:uid="{40DDCD82-5386-4A43-97A6-CAA5A6F59D5E}">
      <formula1>0</formula1>
      <formula2>10000000</formula2>
    </dataValidation>
    <dataValidation type="whole" allowBlank="1" showInputMessage="1" showErrorMessage="1" errorTitle="Numbers only" error="Please enter the population served and no other text" sqref="L16" xr:uid="{A826D58B-39AD-4746-A855-F735FA917CB3}">
      <formula1>0</formula1>
      <formula2>10000000</formula2>
    </dataValidation>
  </dataValidations>
  <hyperlinks>
    <hyperlink ref="D1" location="Bookmarks!A1" display="Return to Bookmarks" xr:uid="{E32E8C03-9844-417D-B0AF-336E08F3C546}"/>
  </hyperlinks>
  <printOptions horizontalCentered="1"/>
  <pageMargins left="0.5" right="0.5" top="0.5" bottom="0.5" header="0" footer="0"/>
  <pageSetup scale="82" fitToHeight="0" orientation="portrait" horizontalDpi="1200" r:id="rId1"/>
  <headerFooter alignWithMargins="0"/>
  <colBreaks count="1" manualBreakCount="1">
    <brk id="12" max="4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E5083-BE6E-473F-BDBF-ED3A5E73DBE4}">
  <dimension ref="A1:K14"/>
  <sheetViews>
    <sheetView topLeftCell="D1" workbookViewId="0">
      <pane ySplit="1" topLeftCell="A2" activePane="bottomLeft" state="frozen"/>
      <selection pane="bottomLeft" activeCell="K2" sqref="K2:K3"/>
    </sheetView>
  </sheetViews>
  <sheetFormatPr defaultRowHeight="12.75"/>
  <cols>
    <col min="2" max="2" width="32.42578125" customWidth="1"/>
    <col min="3" max="3" width="26.28515625" bestFit="1" customWidth="1"/>
    <col min="4" max="4" width="26.7109375" bestFit="1" customWidth="1"/>
    <col min="5" max="5" width="26.7109375" customWidth="1"/>
    <col min="6" max="6" width="24.7109375" bestFit="1" customWidth="1"/>
    <col min="7" max="7" width="24.7109375" customWidth="1"/>
    <col min="8" max="8" width="32.28515625" bestFit="1" customWidth="1"/>
    <col min="9" max="9" width="32.7109375" bestFit="1" customWidth="1"/>
    <col min="10" max="10" width="19" customWidth="1"/>
  </cols>
  <sheetData>
    <row r="1" spans="1:11">
      <c r="A1" s="623" t="s">
        <v>554</v>
      </c>
      <c r="B1" s="623" t="s">
        <v>555</v>
      </c>
      <c r="C1" s="623" t="s">
        <v>556</v>
      </c>
      <c r="D1" s="623" t="s">
        <v>557</v>
      </c>
      <c r="E1" s="623" t="s">
        <v>558</v>
      </c>
      <c r="F1" s="623" t="s">
        <v>559</v>
      </c>
      <c r="G1" s="623" t="s">
        <v>560</v>
      </c>
      <c r="H1" s="623" t="s">
        <v>561</v>
      </c>
      <c r="I1" s="623" t="s">
        <v>605</v>
      </c>
      <c r="J1" s="623" t="s">
        <v>606</v>
      </c>
      <c r="K1" s="623" t="s">
        <v>721</v>
      </c>
    </row>
    <row r="2" spans="1:11" ht="15.75">
      <c r="A2" s="116" t="s">
        <v>358</v>
      </c>
      <c r="B2" s="116" t="s">
        <v>562</v>
      </c>
      <c r="C2" s="116" t="s">
        <v>589</v>
      </c>
      <c r="D2" s="116" t="s">
        <v>595</v>
      </c>
      <c r="E2" s="116" t="s">
        <v>563</v>
      </c>
      <c r="F2" s="116" t="s">
        <v>564</v>
      </c>
      <c r="G2" s="116" t="s">
        <v>596</v>
      </c>
      <c r="H2" s="116" t="s">
        <v>576</v>
      </c>
      <c r="I2" s="116" t="s">
        <v>602</v>
      </c>
      <c r="J2" s="116" t="s">
        <v>79</v>
      </c>
      <c r="K2" s="116" t="s">
        <v>722</v>
      </c>
    </row>
    <row r="3" spans="1:11" ht="15.75">
      <c r="A3" s="116" t="s">
        <v>360</v>
      </c>
      <c r="B3" s="116" t="s">
        <v>565</v>
      </c>
      <c r="C3" s="116" t="s">
        <v>590</v>
      </c>
      <c r="D3" s="116" t="s">
        <v>592</v>
      </c>
      <c r="E3" s="116" t="s">
        <v>566</v>
      </c>
      <c r="F3" s="116" t="s">
        <v>567</v>
      </c>
      <c r="G3" s="116" t="s">
        <v>597</v>
      </c>
      <c r="H3" s="116" t="s">
        <v>602</v>
      </c>
      <c r="I3" s="116" t="s">
        <v>601</v>
      </c>
      <c r="J3" s="116" t="s">
        <v>81</v>
      </c>
      <c r="K3" s="116" t="s">
        <v>723</v>
      </c>
    </row>
    <row r="4" spans="1:11">
      <c r="B4" s="116" t="s">
        <v>585</v>
      </c>
      <c r="C4" s="116" t="s">
        <v>568</v>
      </c>
      <c r="D4" s="116" t="s">
        <v>593</v>
      </c>
      <c r="E4" s="707"/>
      <c r="F4" s="116" t="s">
        <v>569</v>
      </c>
      <c r="G4" s="707"/>
      <c r="H4" s="116" t="s">
        <v>598</v>
      </c>
      <c r="I4" s="707"/>
      <c r="J4" s="116" t="s">
        <v>83</v>
      </c>
    </row>
    <row r="5" spans="1:11">
      <c r="B5" t="s">
        <v>570</v>
      </c>
      <c r="C5" s="116" t="s">
        <v>571</v>
      </c>
      <c r="D5" s="116" t="s">
        <v>594</v>
      </c>
      <c r="E5" s="707"/>
      <c r="F5" s="116" t="s">
        <v>573</v>
      </c>
      <c r="G5" s="707"/>
      <c r="H5" s="116" t="s">
        <v>599</v>
      </c>
      <c r="I5" s="707"/>
    </row>
    <row r="6" spans="1:11">
      <c r="B6" s="116" t="s">
        <v>584</v>
      </c>
      <c r="C6" s="116" t="s">
        <v>574</v>
      </c>
      <c r="D6" s="116" t="s">
        <v>572</v>
      </c>
      <c r="E6" s="707"/>
      <c r="F6" s="116" t="s">
        <v>575</v>
      </c>
      <c r="G6" s="707"/>
      <c r="H6" s="116" t="s">
        <v>600</v>
      </c>
      <c r="I6" s="707"/>
    </row>
    <row r="7" spans="1:11">
      <c r="B7" s="116" t="s">
        <v>586</v>
      </c>
      <c r="C7" s="116" t="s">
        <v>591</v>
      </c>
      <c r="E7" s="707"/>
      <c r="F7" s="707"/>
      <c r="G7" s="707"/>
      <c r="I7" s="707"/>
    </row>
    <row r="8" spans="1:11">
      <c r="B8" s="116" t="s">
        <v>577</v>
      </c>
      <c r="C8" s="116" t="s">
        <v>604</v>
      </c>
      <c r="E8" s="707"/>
      <c r="F8" s="707"/>
      <c r="G8" s="707"/>
      <c r="I8" s="707"/>
    </row>
    <row r="9" spans="1:11">
      <c r="B9" s="116" t="s">
        <v>578</v>
      </c>
      <c r="C9" s="116" t="s">
        <v>581</v>
      </c>
      <c r="D9" s="707"/>
      <c r="E9" s="707"/>
      <c r="F9" s="707"/>
      <c r="G9" s="707"/>
      <c r="I9" s="707"/>
    </row>
    <row r="10" spans="1:11">
      <c r="B10" t="s">
        <v>579</v>
      </c>
      <c r="C10" s="116" t="s">
        <v>603</v>
      </c>
      <c r="D10" s="707"/>
      <c r="E10" s="707"/>
      <c r="F10" s="707"/>
      <c r="G10" s="707"/>
      <c r="I10" s="707"/>
    </row>
    <row r="11" spans="1:11">
      <c r="B11" t="s">
        <v>580</v>
      </c>
      <c r="C11" s="707"/>
      <c r="D11" s="707"/>
      <c r="E11" s="707"/>
      <c r="F11" s="707"/>
      <c r="G11" s="707"/>
      <c r="I11" s="707"/>
    </row>
    <row r="12" spans="1:11">
      <c r="B12" t="s">
        <v>588</v>
      </c>
    </row>
    <row r="13" spans="1:11">
      <c r="B13" t="s">
        <v>582</v>
      </c>
    </row>
    <row r="14" spans="1:11">
      <c r="B14" t="s">
        <v>587</v>
      </c>
    </row>
  </sheetData>
  <sheetProtection selectLockedCells="1"/>
  <sortState xmlns:xlrd2="http://schemas.microsoft.com/office/spreadsheetml/2017/richdata2" ref="I2:I4">
    <sortCondition ref="I2:I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BB47"/>
  <sheetViews>
    <sheetView showGridLines="0" zoomScaleNormal="100" zoomScaleSheetLayoutView="100" workbookViewId="0">
      <pane xSplit="1" ySplit="7" topLeftCell="B8" activePane="bottomRight" state="frozen"/>
      <selection pane="topRight" activeCell="E34" sqref="E34"/>
      <selection pane="bottomLeft" activeCell="E34" sqref="E34"/>
      <selection pane="bottomRight" activeCell="B8" sqref="B8"/>
    </sheetView>
  </sheetViews>
  <sheetFormatPr defaultColWidth="9" defaultRowHeight="12.75"/>
  <cols>
    <col min="1" max="1" width="11.7109375" customWidth="1"/>
    <col min="2" max="2" width="15.5703125" customWidth="1"/>
    <col min="3" max="3" width="11.28515625" customWidth="1"/>
    <col min="4" max="4" width="13.7109375" customWidth="1"/>
    <col min="5" max="5" width="10.7109375" customWidth="1"/>
    <col min="6" max="6" width="13.28515625" customWidth="1"/>
    <col min="7" max="7" width="10.7109375" customWidth="1"/>
    <col min="8" max="8" width="13.28515625" customWidth="1"/>
    <col min="9" max="9" width="10.7109375" customWidth="1"/>
    <col min="10" max="10" width="13.28515625" customWidth="1"/>
    <col min="11" max="11" width="10.7109375" customWidth="1"/>
    <col min="12" max="12" width="13.28515625" customWidth="1"/>
    <col min="13" max="13" width="10.7109375" customWidth="1"/>
    <col min="14" max="14" width="13.28515625" customWidth="1"/>
    <col min="15" max="15" width="10.7109375" customWidth="1"/>
    <col min="16" max="16" width="13.28515625" customWidth="1"/>
    <col min="17" max="17" width="10.7109375" customWidth="1"/>
    <col min="18" max="18" width="13" customWidth="1"/>
    <col min="19" max="19" width="10.7109375" customWidth="1"/>
    <col min="20" max="20" width="13.28515625" customWidth="1"/>
    <col min="21" max="21" width="10.7109375" customWidth="1"/>
    <col min="22" max="22" width="13.28515625" customWidth="1"/>
    <col min="23" max="23" width="9.7109375" customWidth="1"/>
    <col min="24" max="24" width="13.7109375" customWidth="1"/>
    <col min="25" max="25" width="11.5703125" customWidth="1"/>
    <col min="26" max="26" width="13.28515625" customWidth="1"/>
    <col min="27" max="27" width="10.7109375" customWidth="1"/>
    <col min="28" max="28" width="13.28515625" customWidth="1"/>
    <col min="29" max="29" width="10.7109375" customWidth="1"/>
    <col min="30" max="30" width="13.28515625" customWidth="1"/>
    <col min="31" max="31" width="10.7109375" customWidth="1"/>
    <col min="32" max="32" width="13.28515625" customWidth="1"/>
    <col min="33" max="33" width="10.7109375" customWidth="1"/>
    <col min="34" max="34" width="13.28515625" customWidth="1"/>
    <col min="35" max="35" width="10.7109375" customWidth="1"/>
    <col min="36" max="36" width="13.28515625" style="542" customWidth="1"/>
    <col min="37" max="37" width="10.7109375" style="292" customWidth="1"/>
    <col min="38" max="38" width="13.28515625" style="542" customWidth="1"/>
    <col min="39" max="39" width="10.7109375" style="292" customWidth="1"/>
    <col min="40" max="40" width="13.28515625" style="542" customWidth="1"/>
    <col min="41" max="41" width="10.7109375" style="292" customWidth="1"/>
    <col min="42" max="42" width="13.28515625" style="542" customWidth="1"/>
    <col min="43" max="43" width="10.7109375" style="292" customWidth="1"/>
    <col min="44" max="44" width="13.28515625" style="542" customWidth="1"/>
    <col min="45" max="45" width="10.7109375" style="292" customWidth="1"/>
    <col min="46" max="46" width="13.28515625" style="542" customWidth="1"/>
    <col min="47" max="47" width="10.7109375" style="292" customWidth="1"/>
    <col min="48" max="48" width="13.28515625" style="542" customWidth="1"/>
    <col min="49" max="49" width="10.7109375" style="292" customWidth="1"/>
    <col min="50" max="50" width="13.28515625" style="542" customWidth="1"/>
    <col min="51" max="51" width="10.7109375" style="292" customWidth="1"/>
    <col min="52" max="52" width="13.28515625" style="542" customWidth="1"/>
    <col min="53" max="53" width="10.7109375" style="292" customWidth="1"/>
    <col min="54" max="54" width="2.140625" customWidth="1"/>
  </cols>
  <sheetData>
    <row r="1" spans="1:54" ht="27.6" customHeight="1">
      <c r="A1" s="1090" t="s">
        <v>730</v>
      </c>
      <c r="B1" s="200" t="s">
        <v>57</v>
      </c>
      <c r="C1" s="200"/>
      <c r="D1" s="200"/>
      <c r="E1" s="200"/>
      <c r="F1" s="200"/>
      <c r="G1" s="200"/>
      <c r="H1" s="202"/>
      <c r="I1" s="202"/>
      <c r="J1" s="200"/>
      <c r="K1" s="200"/>
      <c r="L1" s="200"/>
      <c r="M1" s="200"/>
      <c r="N1" s="202"/>
      <c r="O1" s="202"/>
      <c r="P1" s="200"/>
      <c r="Q1" s="200"/>
      <c r="R1" s="200"/>
      <c r="S1" s="200"/>
      <c r="T1" s="200"/>
      <c r="U1" s="200"/>
      <c r="V1" s="200"/>
      <c r="W1" s="200"/>
      <c r="X1" s="200"/>
      <c r="Y1" s="200"/>
      <c r="Z1" s="200"/>
      <c r="AA1" s="200"/>
      <c r="AB1" s="200"/>
      <c r="AC1" s="200"/>
      <c r="AD1" s="200"/>
      <c r="AE1" s="200"/>
      <c r="AF1" s="200"/>
      <c r="AG1" s="293"/>
      <c r="AH1" s="200"/>
      <c r="AI1" s="293"/>
      <c r="AJ1" s="541"/>
      <c r="AK1" s="293"/>
      <c r="AL1" s="541"/>
      <c r="AM1" s="293"/>
      <c r="AN1" s="541"/>
      <c r="AO1" s="293"/>
      <c r="AP1" s="541"/>
      <c r="AQ1" s="293"/>
      <c r="AR1" s="541"/>
      <c r="AS1" s="293"/>
      <c r="AT1" s="541"/>
      <c r="AU1" s="293"/>
      <c r="AV1" s="541"/>
      <c r="AW1" s="293"/>
      <c r="AX1" s="541"/>
      <c r="AY1" s="293"/>
      <c r="AZ1" s="541"/>
      <c r="BA1" s="293"/>
      <c r="BB1" s="791"/>
    </row>
    <row r="2" spans="1:54" ht="70.150000000000006" customHeight="1">
      <c r="A2" s="1195" t="s">
        <v>58</v>
      </c>
      <c r="B2" s="1201" t="s">
        <v>59</v>
      </c>
      <c r="C2" s="1198" t="s">
        <v>716</v>
      </c>
      <c r="D2" s="1180" t="s">
        <v>60</v>
      </c>
      <c r="E2" s="1181"/>
      <c r="F2" s="1180" t="s">
        <v>60</v>
      </c>
      <c r="G2" s="1181"/>
      <c r="H2" s="1178" t="s">
        <v>61</v>
      </c>
      <c r="I2" s="1179"/>
      <c r="J2" s="1178" t="s">
        <v>62</v>
      </c>
      <c r="K2" s="1182"/>
      <c r="L2" s="1178" t="s">
        <v>63</v>
      </c>
      <c r="M2" s="1179"/>
      <c r="N2" s="1178" t="s">
        <v>64</v>
      </c>
      <c r="O2" s="1179"/>
      <c r="P2" s="1178" t="s">
        <v>727</v>
      </c>
      <c r="Q2" s="1179"/>
      <c r="R2" s="1183" t="s">
        <v>65</v>
      </c>
      <c r="S2" s="1178"/>
      <c r="T2" s="1180" t="s">
        <v>66</v>
      </c>
      <c r="U2" s="1181"/>
      <c r="V2" s="1178" t="s">
        <v>67</v>
      </c>
      <c r="W2" s="1181"/>
      <c r="X2" s="1178" t="s">
        <v>726</v>
      </c>
      <c r="Y2" s="1179"/>
      <c r="Z2" s="1178" t="s">
        <v>68</v>
      </c>
      <c r="AA2" s="1179"/>
      <c r="AB2" s="1163" t="s">
        <v>69</v>
      </c>
      <c r="AC2" s="1177"/>
      <c r="AD2" s="1163" t="s">
        <v>69</v>
      </c>
      <c r="AE2" s="1177"/>
      <c r="AF2" s="1163" t="s">
        <v>69</v>
      </c>
      <c r="AG2" s="1164"/>
      <c r="AH2" s="1163" t="s">
        <v>69</v>
      </c>
      <c r="AI2" s="1164"/>
      <c r="AJ2" s="1163" t="s">
        <v>69</v>
      </c>
      <c r="AK2" s="1164"/>
      <c r="AL2" s="1163" t="s">
        <v>69</v>
      </c>
      <c r="AM2" s="1164"/>
      <c r="AN2" s="1163" t="s">
        <v>69</v>
      </c>
      <c r="AO2" s="1164"/>
      <c r="AP2" s="1163" t="s">
        <v>69</v>
      </c>
      <c r="AQ2" s="1164"/>
      <c r="AR2" s="1163" t="s">
        <v>69</v>
      </c>
      <c r="AS2" s="1164"/>
      <c r="AT2" s="1163" t="s">
        <v>69</v>
      </c>
      <c r="AU2" s="1164"/>
      <c r="AV2" s="1163" t="s">
        <v>69</v>
      </c>
      <c r="AW2" s="1164"/>
      <c r="AX2" s="1163" t="s">
        <v>69</v>
      </c>
      <c r="AY2" s="1164"/>
      <c r="AZ2" s="1163" t="s">
        <v>69</v>
      </c>
      <c r="BA2" s="1164"/>
      <c r="BB2" s="791"/>
    </row>
    <row r="3" spans="1:54" s="346" customFormat="1" ht="25.15" customHeight="1">
      <c r="A3" s="1196"/>
      <c r="B3" s="1202"/>
      <c r="C3" s="1199"/>
      <c r="D3" s="1208" t="s">
        <v>562</v>
      </c>
      <c r="E3" s="1209"/>
      <c r="F3" s="1171" t="s">
        <v>70</v>
      </c>
      <c r="G3" s="1172"/>
      <c r="H3" s="1171" t="s">
        <v>70</v>
      </c>
      <c r="I3" s="1172"/>
      <c r="J3" s="1171" t="s">
        <v>70</v>
      </c>
      <c r="K3" s="1172"/>
      <c r="L3" s="1171" t="s">
        <v>70</v>
      </c>
      <c r="M3" s="1172"/>
      <c r="N3" s="1171" t="s">
        <v>70</v>
      </c>
      <c r="O3" s="1172"/>
      <c r="P3" s="1171" t="s">
        <v>70</v>
      </c>
      <c r="Q3" s="1172"/>
      <c r="R3" s="1171" t="s">
        <v>70</v>
      </c>
      <c r="S3" s="1172"/>
      <c r="T3" s="1171" t="s">
        <v>70</v>
      </c>
      <c r="U3" s="1172"/>
      <c r="V3" s="1171" t="s">
        <v>70</v>
      </c>
      <c r="W3" s="1172"/>
      <c r="X3" s="1171" t="s">
        <v>70</v>
      </c>
      <c r="Y3" s="1172"/>
      <c r="Z3" s="1171" t="s">
        <v>70</v>
      </c>
      <c r="AA3" s="1172"/>
      <c r="AB3" s="1165" t="s">
        <v>71</v>
      </c>
      <c r="AC3" s="1166"/>
      <c r="AD3" s="1165" t="s">
        <v>71</v>
      </c>
      <c r="AE3" s="1166"/>
      <c r="AF3" s="1165" t="s">
        <v>71</v>
      </c>
      <c r="AG3" s="1166"/>
      <c r="AH3" s="1165" t="s">
        <v>71</v>
      </c>
      <c r="AI3" s="1166"/>
      <c r="AJ3" s="1165" t="s">
        <v>71</v>
      </c>
      <c r="AK3" s="1166"/>
      <c r="AL3" s="1165" t="s">
        <v>71</v>
      </c>
      <c r="AM3" s="1166"/>
      <c r="AN3" s="1165" t="s">
        <v>71</v>
      </c>
      <c r="AO3" s="1166"/>
      <c r="AP3" s="1165" t="s">
        <v>71</v>
      </c>
      <c r="AQ3" s="1166"/>
      <c r="AR3" s="1165" t="s">
        <v>71</v>
      </c>
      <c r="AS3" s="1166"/>
      <c r="AT3" s="1165" t="s">
        <v>71</v>
      </c>
      <c r="AU3" s="1166"/>
      <c r="AV3" s="1165" t="s">
        <v>71</v>
      </c>
      <c r="AW3" s="1166"/>
      <c r="AX3" s="1165" t="s">
        <v>71</v>
      </c>
      <c r="AY3" s="1166"/>
      <c r="AZ3" s="1165" t="s">
        <v>71</v>
      </c>
      <c r="BA3" s="1166"/>
      <c r="BB3" s="817"/>
    </row>
    <row r="4" spans="1:54" s="709" customFormat="1" ht="19.149999999999999" customHeight="1">
      <c r="A4" s="1196"/>
      <c r="B4" s="1202"/>
      <c r="C4" s="1199"/>
      <c r="D4" s="1206" t="s">
        <v>72</v>
      </c>
      <c r="E4" s="1207"/>
      <c r="F4" s="1206" t="s">
        <v>72</v>
      </c>
      <c r="G4" s="1207"/>
      <c r="H4" s="1206" t="s">
        <v>72</v>
      </c>
      <c r="I4" s="1207"/>
      <c r="J4" s="1173" t="s">
        <v>72</v>
      </c>
      <c r="K4" s="1174"/>
      <c r="L4" s="1173" t="s">
        <v>72</v>
      </c>
      <c r="M4" s="1174"/>
      <c r="N4" s="1173" t="s">
        <v>72</v>
      </c>
      <c r="O4" s="1174"/>
      <c r="P4" s="1173" t="s">
        <v>72</v>
      </c>
      <c r="Q4" s="1174"/>
      <c r="R4" s="1173" t="s">
        <v>72</v>
      </c>
      <c r="S4" s="1174"/>
      <c r="T4" s="1184" t="s">
        <v>72</v>
      </c>
      <c r="U4" s="1185"/>
      <c r="V4" s="1184" t="s">
        <v>72</v>
      </c>
      <c r="W4" s="1185"/>
      <c r="X4" s="1184" t="s">
        <v>72</v>
      </c>
      <c r="Y4" s="1185"/>
      <c r="Z4" s="1184" t="s">
        <v>72</v>
      </c>
      <c r="AA4" s="1185"/>
      <c r="AB4" s="1167" t="s">
        <v>72</v>
      </c>
      <c r="AC4" s="1168"/>
      <c r="AD4" s="1167" t="s">
        <v>72</v>
      </c>
      <c r="AE4" s="1168"/>
      <c r="AF4" s="1167" t="s">
        <v>72</v>
      </c>
      <c r="AG4" s="1168"/>
      <c r="AH4" s="1167" t="s">
        <v>72</v>
      </c>
      <c r="AI4" s="1168"/>
      <c r="AJ4" s="1167" t="s">
        <v>72</v>
      </c>
      <c r="AK4" s="1168"/>
      <c r="AL4" s="1167" t="s">
        <v>72</v>
      </c>
      <c r="AM4" s="1168"/>
      <c r="AN4" s="1167" t="s">
        <v>72</v>
      </c>
      <c r="AO4" s="1168"/>
      <c r="AP4" s="1167" t="s">
        <v>72</v>
      </c>
      <c r="AQ4" s="1168"/>
      <c r="AR4" s="1167" t="s">
        <v>72</v>
      </c>
      <c r="AS4" s="1168"/>
      <c r="AT4" s="1167" t="s">
        <v>72</v>
      </c>
      <c r="AU4" s="1168"/>
      <c r="AV4" s="1167" t="s">
        <v>72</v>
      </c>
      <c r="AW4" s="1168"/>
      <c r="AX4" s="1167" t="s">
        <v>72</v>
      </c>
      <c r="AY4" s="1168"/>
      <c r="AZ4" s="1167" t="s">
        <v>72</v>
      </c>
      <c r="BA4" s="1168"/>
      <c r="BB4" s="818"/>
    </row>
    <row r="5" spans="1:54" s="304" customFormat="1" ht="18.75" customHeight="1">
      <c r="A5" s="1196"/>
      <c r="B5" s="1202"/>
      <c r="C5" s="1199"/>
      <c r="D5" s="1173" t="s">
        <v>81</v>
      </c>
      <c r="E5" s="1174"/>
      <c r="F5" s="1173" t="s">
        <v>73</v>
      </c>
      <c r="G5" s="1174"/>
      <c r="H5" s="1173" t="s">
        <v>73</v>
      </c>
      <c r="I5" s="1174"/>
      <c r="J5" s="1173" t="s">
        <v>73</v>
      </c>
      <c r="K5" s="1174"/>
      <c r="L5" s="1173" t="s">
        <v>73</v>
      </c>
      <c r="M5" s="1174"/>
      <c r="N5" s="1173" t="s">
        <v>73</v>
      </c>
      <c r="O5" s="1174"/>
      <c r="P5" s="1173" t="s">
        <v>73</v>
      </c>
      <c r="Q5" s="1174"/>
      <c r="R5" s="1173" t="s">
        <v>73</v>
      </c>
      <c r="S5" s="1174"/>
      <c r="T5" s="1173" t="s">
        <v>73</v>
      </c>
      <c r="U5" s="1174"/>
      <c r="V5" s="1173" t="s">
        <v>73</v>
      </c>
      <c r="W5" s="1174"/>
      <c r="X5" s="1173" t="s">
        <v>73</v>
      </c>
      <c r="Y5" s="1174"/>
      <c r="Z5" s="1173" t="s">
        <v>73</v>
      </c>
      <c r="AA5" s="1174"/>
      <c r="AB5" s="1169" t="s">
        <v>74</v>
      </c>
      <c r="AC5" s="1170"/>
      <c r="AD5" s="1169" t="s">
        <v>74</v>
      </c>
      <c r="AE5" s="1170"/>
      <c r="AF5" s="1169" t="s">
        <v>74</v>
      </c>
      <c r="AG5" s="1170"/>
      <c r="AH5" s="1169" t="s">
        <v>74</v>
      </c>
      <c r="AI5" s="1170"/>
      <c r="AJ5" s="1169" t="s">
        <v>74</v>
      </c>
      <c r="AK5" s="1170"/>
      <c r="AL5" s="1169" t="s">
        <v>74</v>
      </c>
      <c r="AM5" s="1170"/>
      <c r="AN5" s="1169" t="s">
        <v>74</v>
      </c>
      <c r="AO5" s="1170"/>
      <c r="AP5" s="1169" t="s">
        <v>74</v>
      </c>
      <c r="AQ5" s="1170"/>
      <c r="AR5" s="1169" t="s">
        <v>74</v>
      </c>
      <c r="AS5" s="1170"/>
      <c r="AT5" s="1169" t="s">
        <v>74</v>
      </c>
      <c r="AU5" s="1170"/>
      <c r="AV5" s="1169" t="s">
        <v>74</v>
      </c>
      <c r="AW5" s="1170"/>
      <c r="AX5" s="1169" t="s">
        <v>74</v>
      </c>
      <c r="AY5" s="1170"/>
      <c r="AZ5" s="1169" t="s">
        <v>74</v>
      </c>
      <c r="BA5" s="1170"/>
      <c r="BB5" s="819"/>
    </row>
    <row r="6" spans="1:54" s="294" customFormat="1" ht="25.5" customHeight="1">
      <c r="A6" s="1196"/>
      <c r="B6" s="1203"/>
      <c r="C6" s="1199"/>
      <c r="D6" s="1204">
        <v>100</v>
      </c>
      <c r="E6" s="1205"/>
      <c r="F6" s="1186" t="s">
        <v>75</v>
      </c>
      <c r="G6" s="1187"/>
      <c r="H6" s="1186" t="s">
        <v>75</v>
      </c>
      <c r="I6" s="1187"/>
      <c r="J6" s="1186" t="s">
        <v>75</v>
      </c>
      <c r="K6" s="1187"/>
      <c r="L6" s="1186" t="s">
        <v>75</v>
      </c>
      <c r="M6" s="1187"/>
      <c r="N6" s="1186" t="s">
        <v>75</v>
      </c>
      <c r="O6" s="1187"/>
      <c r="P6" s="1186" t="s">
        <v>75</v>
      </c>
      <c r="Q6" s="1187"/>
      <c r="R6" s="1186" t="s">
        <v>75</v>
      </c>
      <c r="S6" s="1187"/>
      <c r="T6" s="1175" t="s">
        <v>75</v>
      </c>
      <c r="U6" s="1176"/>
      <c r="V6" s="1175" t="s">
        <v>75</v>
      </c>
      <c r="W6" s="1176"/>
      <c r="X6" s="1175" t="s">
        <v>75</v>
      </c>
      <c r="Y6" s="1176"/>
      <c r="Z6" s="1175" t="s">
        <v>75</v>
      </c>
      <c r="AA6" s="1176"/>
      <c r="AB6" s="1161" t="s">
        <v>75</v>
      </c>
      <c r="AC6" s="1162"/>
      <c r="AD6" s="1161" t="s">
        <v>75</v>
      </c>
      <c r="AE6" s="1162"/>
      <c r="AF6" s="1161" t="s">
        <v>75</v>
      </c>
      <c r="AG6" s="1162"/>
      <c r="AH6" s="1161" t="s">
        <v>75</v>
      </c>
      <c r="AI6" s="1162"/>
      <c r="AJ6" s="1161" t="s">
        <v>75</v>
      </c>
      <c r="AK6" s="1162"/>
      <c r="AL6" s="1161" t="s">
        <v>75</v>
      </c>
      <c r="AM6" s="1162"/>
      <c r="AN6" s="1161" t="s">
        <v>75</v>
      </c>
      <c r="AO6" s="1162"/>
      <c r="AP6" s="1161" t="s">
        <v>75</v>
      </c>
      <c r="AQ6" s="1162"/>
      <c r="AR6" s="1161" t="s">
        <v>75</v>
      </c>
      <c r="AS6" s="1162"/>
      <c r="AT6" s="1161" t="s">
        <v>75</v>
      </c>
      <c r="AU6" s="1162"/>
      <c r="AV6" s="1161" t="s">
        <v>75</v>
      </c>
      <c r="AW6" s="1162"/>
      <c r="AX6" s="1161" t="s">
        <v>75</v>
      </c>
      <c r="AY6" s="1162"/>
      <c r="AZ6" s="1161" t="s">
        <v>75</v>
      </c>
      <c r="BA6" s="1162"/>
      <c r="BB6" s="820"/>
    </row>
    <row r="7" spans="1:54" ht="22.5" customHeight="1" thickBot="1">
      <c r="A7" s="1197"/>
      <c r="B7" s="801" t="s">
        <v>76</v>
      </c>
      <c r="C7" s="1200"/>
      <c r="D7" s="802" t="s">
        <v>77</v>
      </c>
      <c r="E7" s="803" t="s">
        <v>78</v>
      </c>
      <c r="F7" s="802" t="s">
        <v>77</v>
      </c>
      <c r="G7" s="803" t="s">
        <v>78</v>
      </c>
      <c r="H7" s="802" t="s">
        <v>77</v>
      </c>
      <c r="I7" s="803" t="s">
        <v>78</v>
      </c>
      <c r="J7" s="802" t="s">
        <v>77</v>
      </c>
      <c r="K7" s="803" t="s">
        <v>78</v>
      </c>
      <c r="L7" s="802" t="s">
        <v>77</v>
      </c>
      <c r="M7" s="803" t="s">
        <v>78</v>
      </c>
      <c r="N7" s="802" t="s">
        <v>77</v>
      </c>
      <c r="O7" s="803" t="s">
        <v>78</v>
      </c>
      <c r="P7" s="802" t="s">
        <v>77</v>
      </c>
      <c r="Q7" s="803" t="s">
        <v>78</v>
      </c>
      <c r="R7" s="802" t="s">
        <v>77</v>
      </c>
      <c r="S7" s="803" t="s">
        <v>78</v>
      </c>
      <c r="T7" s="802" t="s">
        <v>77</v>
      </c>
      <c r="U7" s="803" t="s">
        <v>78</v>
      </c>
      <c r="V7" s="802" t="s">
        <v>77</v>
      </c>
      <c r="W7" s="803" t="s">
        <v>78</v>
      </c>
      <c r="X7" s="802" t="s">
        <v>77</v>
      </c>
      <c r="Y7" s="803" t="s">
        <v>78</v>
      </c>
      <c r="Z7" s="802" t="s">
        <v>77</v>
      </c>
      <c r="AA7" s="803" t="s">
        <v>78</v>
      </c>
      <c r="AB7" s="804" t="s">
        <v>77</v>
      </c>
      <c r="AC7" s="805" t="s">
        <v>78</v>
      </c>
      <c r="AD7" s="804" t="s">
        <v>77</v>
      </c>
      <c r="AE7" s="805" t="s">
        <v>78</v>
      </c>
      <c r="AF7" s="804" t="s">
        <v>77</v>
      </c>
      <c r="AG7" s="805" t="s">
        <v>78</v>
      </c>
      <c r="AH7" s="804" t="s">
        <v>77</v>
      </c>
      <c r="AI7" s="805" t="s">
        <v>78</v>
      </c>
      <c r="AJ7" s="804" t="s">
        <v>77</v>
      </c>
      <c r="AK7" s="805" t="s">
        <v>78</v>
      </c>
      <c r="AL7" s="804" t="s">
        <v>77</v>
      </c>
      <c r="AM7" s="805" t="s">
        <v>78</v>
      </c>
      <c r="AN7" s="804" t="s">
        <v>77</v>
      </c>
      <c r="AO7" s="805" t="s">
        <v>78</v>
      </c>
      <c r="AP7" s="804" t="s">
        <v>77</v>
      </c>
      <c r="AQ7" s="805" t="s">
        <v>78</v>
      </c>
      <c r="AR7" s="804" t="s">
        <v>77</v>
      </c>
      <c r="AS7" s="805" t="s">
        <v>78</v>
      </c>
      <c r="AT7" s="804" t="s">
        <v>77</v>
      </c>
      <c r="AU7" s="805" t="s">
        <v>78</v>
      </c>
      <c r="AV7" s="804" t="s">
        <v>77</v>
      </c>
      <c r="AW7" s="805" t="s">
        <v>78</v>
      </c>
      <c r="AX7" s="804" t="s">
        <v>77</v>
      </c>
      <c r="AY7" s="805" t="s">
        <v>78</v>
      </c>
      <c r="AZ7" s="804" t="s">
        <v>77</v>
      </c>
      <c r="BA7" s="805" t="s">
        <v>78</v>
      </c>
      <c r="BB7" s="791"/>
    </row>
    <row r="8" spans="1:54" ht="22.15" customHeight="1">
      <c r="A8" s="198">
        <v>1</v>
      </c>
      <c r="B8" s="1573"/>
      <c r="C8" s="375"/>
      <c r="D8" s="374"/>
      <c r="E8" s="379" t="str">
        <f>IF(OR(D8=0,$D$6="TYPE IN: % ACTIVE INGREDIENT *",$D$6=""),"",((D8/($B8/1000000))/8.34)*($D$6/100))</f>
        <v/>
      </c>
      <c r="F8" s="374"/>
      <c r="G8" s="380" t="str">
        <f>IF(OR(F8=0,$F$6="% ACTIVE INGREDIENT",$F$6=""),"",((F8/($B8/1000000))/8.34)*($F$6/100))</f>
        <v/>
      </c>
      <c r="H8" s="374"/>
      <c r="I8" s="380" t="str">
        <f>IF(OR(H8=0,$H$6="% ACTIVE INGREDIENT",$H$6=""),"",((H8/($B8/1000000))/8.34)*($H$6/100))</f>
        <v/>
      </c>
      <c r="J8" s="374"/>
      <c r="K8" s="380" t="str">
        <f>IF(OR(J8=0,$J$6="% ACTIVE INGREDIENT",$J$6=""),"",((J8/($B8/1000000))/8.34)*($J$6/100))</f>
        <v/>
      </c>
      <c r="L8" s="374"/>
      <c r="M8" s="380" t="str">
        <f>IF(OR(L8=0,$L$6="% ACTIVE INGREDIENT *",$L$6=""),"",((L8/($B8/1000000))/8.34)*($L$6/100))</f>
        <v/>
      </c>
      <c r="N8" s="374"/>
      <c r="O8" s="380" t="str">
        <f>IF(OR(N8=0,$N$6="% ACTIVE INGREDIENT",$N$6=""),"",((N8/($B8/1000000))/8.34)*($N$6/100))</f>
        <v/>
      </c>
      <c r="P8" s="374"/>
      <c r="Q8" s="380" t="str">
        <f>IF(OR(P8=0,$P$6="% ACTIVE INGREDIENT *",$P$6=""),"",((P8/($B8/1000000))/8.34)*($P$6/100))</f>
        <v/>
      </c>
      <c r="R8" s="374"/>
      <c r="S8" s="380" t="str">
        <f>IF(OR(R8=0,$R$6="% ACTIVE INGREDIENT *",$R$6=""),"",((R8/($B8/1000000))/8.34)*($R$6/100))</f>
        <v/>
      </c>
      <c r="T8" s="374"/>
      <c r="U8" s="380" t="str">
        <f t="shared" ref="U8:U38" si="0">IF(OR(T8=0,$T$6="% ACTIVE INGREDIENT",$T$6=""),"",((T8/($B8/1000000))/8.34)*($T$6/100))</f>
        <v/>
      </c>
      <c r="V8" s="374"/>
      <c r="W8" s="380" t="str">
        <f t="shared" ref="W8:W38" si="1">IF(OR(V8=0,$V$6="% ACTIVE INGREDIENT",$V$6=""),"",((V8/($B8/1000000))/8.34)*($V$6/100))</f>
        <v/>
      </c>
      <c r="X8" s="374"/>
      <c r="Y8" s="380" t="str">
        <f t="shared" ref="Y8:Y38" si="2">IF(OR(X8=0,$X$6="% ACTIVE INGREDIENT",$X$6=""),"",((X8/($B8/1000000))/8.34)*($X$6/100))</f>
        <v/>
      </c>
      <c r="Z8" s="374"/>
      <c r="AA8" s="380" t="str">
        <f t="shared" ref="AA8:AA38" si="3">IF(OR(Z8=0,$Z$6="% ACTIVE INGREDIENT",$Z$6=""),"",((Z8/($B8/1000000))/8.34)*($Z$6/100))</f>
        <v/>
      </c>
      <c r="AB8" s="594"/>
      <c r="AC8" s="582" t="str">
        <f>IF(OR(AB8=0,AB$6="% ACTIVE INGREDIENT",AB$6=""),"",((AB8/($B8/1000000))/8.34)*(AB$6/100))</f>
        <v/>
      </c>
      <c r="AD8" s="374"/>
      <c r="AE8" s="582" t="str">
        <f>IF(OR(AD8=0,AD$6="% ACTIVE INGREDIENT",AD$6=""),"",((AD8/($B8/1000000))/8.34)*(AD$6/100))</f>
        <v/>
      </c>
      <c r="AF8" s="374"/>
      <c r="AG8" s="582" t="str">
        <f t="shared" ref="AG8:AG38" si="4">IF(OR(AF8=0,AF$6="% ACTIVE INGREDIENT",AF$6=""),"",((AF8/($B8/1000000))/8.34)*(AF$6/100))</f>
        <v/>
      </c>
      <c r="AH8" s="374"/>
      <c r="AI8" s="582" t="str">
        <f t="shared" ref="AI8:AI38" si="5">IF(OR(AH8=0,AH$6="% ACTIVE INGREDIENT",AH$6=""),"",((AH8/($B8/1000000))/8.34)*(AH$6/100))</f>
        <v/>
      </c>
      <c r="AJ8" s="596"/>
      <c r="AK8" s="582" t="str">
        <f t="shared" ref="AK8:AK38" si="6">IF(OR(AJ8=0,AJ$6="% ACTIVE INGREDIENT",AJ$6=""),"",((AJ8/($B8/1000000))/8.34)*(AJ$6/100))</f>
        <v/>
      </c>
      <c r="AL8" s="596"/>
      <c r="AM8" s="582" t="str">
        <f t="shared" ref="AM8:AM38" si="7">IF(OR(AL8=0,AL$6="% ACTIVE INGREDIENT",AL$6=""),"",((AL8/($B8/1000000))/8.34)*(AL$6/100))</f>
        <v/>
      </c>
      <c r="AN8" s="596"/>
      <c r="AO8" s="582" t="str">
        <f t="shared" ref="AO8:AO38" si="8">IF(OR(AN8=0,AN$6="% ACTIVE INGREDIENT",AN$6=""),"",((AN8/($B8/1000000))/8.34)*(AN$6/100))</f>
        <v/>
      </c>
      <c r="AP8" s="596"/>
      <c r="AQ8" s="582" t="str">
        <f t="shared" ref="AQ8:AQ38" si="9">IF(OR(AP8=0,AP$6="% ACTIVE INGREDIENT",AP$6=""),"",((AP8/($B8/1000000))/8.34)*(AP$6/100))</f>
        <v/>
      </c>
      <c r="AR8" s="596"/>
      <c r="AS8" s="582" t="str">
        <f t="shared" ref="AS8:AS38" si="10">IF(OR(AR8=0,AR$6="% ACTIVE INGREDIENT",AR$6=""),"",((AR8/($B8/1000000))/8.34)*(AR$6/100))</f>
        <v/>
      </c>
      <c r="AT8" s="596"/>
      <c r="AU8" s="582" t="str">
        <f t="shared" ref="AU8:AU38" si="11">IF(OR(AT8=0,AT$6="% ACTIVE INGREDIENT",AT$6=""),"",((AT8/($B8/1000000))/8.34)*(AT$6/100))</f>
        <v/>
      </c>
      <c r="AV8" s="596"/>
      <c r="AW8" s="582" t="str">
        <f t="shared" ref="AW8:AW38" si="12">IF(OR(AV8=0,AV$6="% ACTIVE INGREDIENT",AV$6=""),"",((AV8/($B8/1000000))/8.34)*(AV$6/100))</f>
        <v/>
      </c>
      <c r="AX8" s="596"/>
      <c r="AY8" s="582" t="str">
        <f t="shared" ref="AY8:AY38" si="13">IF(OR(AX8=0,AX$6="% ACTIVE INGREDIENT",AX$6=""),"",((AX8/($B8/1000000))/8.34)*(AX$6/100))</f>
        <v/>
      </c>
      <c r="AZ8" s="596"/>
      <c r="BA8" s="582" t="str">
        <f t="shared" ref="BA8:BA38" si="14">IF(OR(AZ8=0,AZ$6="% ACTIVE INGREDIENT",AZ$6=""),"",((AZ8/($B8/1000000))/8.34)*(AZ$6/100))</f>
        <v/>
      </c>
      <c r="BB8" s="791"/>
    </row>
    <row r="9" spans="1:54" ht="22.15" customHeight="1">
      <c r="A9" s="198">
        <v>2</v>
      </c>
      <c r="B9" s="1573"/>
      <c r="C9" s="376"/>
      <c r="D9" s="374"/>
      <c r="E9" s="380" t="str">
        <f>IF(OR(D9=0,$D$6="TYPE IN: % ACTIVE INGREDIENT *",$D$6=""),"",((D9/($B9/1000000))/8.34)*($D$6/100))</f>
        <v/>
      </c>
      <c r="F9" s="374"/>
      <c r="G9" s="380" t="str">
        <f t="shared" ref="G9:G38" si="15">IF(OR(F9=0,$F$6="% ACTIVE INGREDIENT",$F$6=""),"",((F9/($B9/1000000))/8.34)*($F$6/100))</f>
        <v/>
      </c>
      <c r="H9" s="374"/>
      <c r="I9" s="380" t="str">
        <f t="shared" ref="I9:I38" si="16">IF(OR(H9=0,$H$6="% ACTIVE INGREDIENT",$H$6=""),"",((H9/($B9/1000000))/8.34)*($H$6/100))</f>
        <v/>
      </c>
      <c r="J9" s="374"/>
      <c r="K9" s="380" t="str">
        <f t="shared" ref="K9:K38" si="17">IF(OR(J9=0,$J$6="% ACTIVE INGREDIENT",$J$6=""),"",((J9/($B9/1000000))/8.34)*($J$6/100))</f>
        <v/>
      </c>
      <c r="L9" s="374"/>
      <c r="M9" s="380" t="str">
        <f t="shared" ref="M9:M38" si="18">IF(OR(L9=0,$L$6="% ACTIVE INGREDIENT *",$L$6=""),"",((L9/($B9/1000000))/8.34)*($L$6/100))</f>
        <v/>
      </c>
      <c r="N9" s="374"/>
      <c r="O9" s="380" t="str">
        <f t="shared" ref="O9:O38" si="19">IF(OR(N9=0,$N$6="% ACTIVE INGREDIENT",$N$6=""),"",((N9/($B9/1000000))/8.34)*($N$6/100))</f>
        <v/>
      </c>
      <c r="P9" s="374"/>
      <c r="Q9" s="380" t="str">
        <f t="shared" ref="Q9:Q38" si="20">IF(OR(P9=0,$P$6="% ACTIVE INGREDIENT *",$P$6=""),"",((P9/($B9/1000000))/8.34)*($P$6/100))</f>
        <v/>
      </c>
      <c r="R9" s="374"/>
      <c r="S9" s="380" t="str">
        <f t="shared" ref="S9:S38" si="21">IF(OR(R9=0,$R$6="% ACTIVE INGREDIENT *",$R$6=""),"",((R9/($B9/1000000))/8.34)*($R$6/100))</f>
        <v/>
      </c>
      <c r="T9" s="374"/>
      <c r="U9" s="380" t="str">
        <f t="shared" si="0"/>
        <v/>
      </c>
      <c r="V9" s="374"/>
      <c r="W9" s="380" t="str">
        <f t="shared" si="1"/>
        <v/>
      </c>
      <c r="X9" s="374"/>
      <c r="Y9" s="380" t="str">
        <f t="shared" si="2"/>
        <v/>
      </c>
      <c r="Z9" s="374"/>
      <c r="AA9" s="380" t="str">
        <f t="shared" si="3"/>
        <v/>
      </c>
      <c r="AB9" s="594"/>
      <c r="AC9" s="582" t="str">
        <f t="shared" ref="AC9:AE38" si="22">IF(OR(AB9=0,AB$6="% ACTIVE INGREDIENT",AB$6=""),"",((AB9/($B9/1000000))/8.34)*(AB$6/100))</f>
        <v/>
      </c>
      <c r="AD9" s="374"/>
      <c r="AE9" s="582" t="str">
        <f t="shared" si="22"/>
        <v/>
      </c>
      <c r="AF9" s="374"/>
      <c r="AG9" s="582" t="str">
        <f t="shared" si="4"/>
        <v/>
      </c>
      <c r="AH9" s="374"/>
      <c r="AI9" s="582" t="str">
        <f t="shared" si="5"/>
        <v/>
      </c>
      <c r="AJ9" s="596"/>
      <c r="AK9" s="582" t="str">
        <f t="shared" si="6"/>
        <v/>
      </c>
      <c r="AL9" s="596"/>
      <c r="AM9" s="582" t="str">
        <f t="shared" si="7"/>
        <v/>
      </c>
      <c r="AN9" s="596"/>
      <c r="AO9" s="582" t="str">
        <f t="shared" si="8"/>
        <v/>
      </c>
      <c r="AP9" s="596"/>
      <c r="AQ9" s="582" t="str">
        <f t="shared" si="9"/>
        <v/>
      </c>
      <c r="AR9" s="596"/>
      <c r="AS9" s="582" t="str">
        <f t="shared" si="10"/>
        <v/>
      </c>
      <c r="AT9" s="596"/>
      <c r="AU9" s="582" t="str">
        <f t="shared" si="11"/>
        <v/>
      </c>
      <c r="AV9" s="596"/>
      <c r="AW9" s="582" t="str">
        <f t="shared" si="12"/>
        <v/>
      </c>
      <c r="AX9" s="596"/>
      <c r="AY9" s="582" t="str">
        <f t="shared" si="13"/>
        <v/>
      </c>
      <c r="AZ9" s="596"/>
      <c r="BA9" s="582" t="str">
        <f t="shared" si="14"/>
        <v/>
      </c>
      <c r="BB9" s="791"/>
    </row>
    <row r="10" spans="1:54" ht="22.15" customHeight="1">
      <c r="A10" s="198">
        <v>3</v>
      </c>
      <c r="B10" s="1573"/>
      <c r="C10" s="376"/>
      <c r="D10" s="374"/>
      <c r="E10" s="380" t="str">
        <f t="shared" ref="E10:E38" si="23">IF(OR(D10=0,$D$6="TYPE IN: % ACTIVE INGREDIENT *",$D$6=""),"",((D10/($B10/1000000))/8.34)*($D$6/100))</f>
        <v/>
      </c>
      <c r="F10" s="374"/>
      <c r="G10" s="380" t="str">
        <f t="shared" si="15"/>
        <v/>
      </c>
      <c r="H10" s="374"/>
      <c r="I10" s="380" t="str">
        <f t="shared" si="16"/>
        <v/>
      </c>
      <c r="J10" s="374"/>
      <c r="K10" s="380" t="str">
        <f t="shared" si="17"/>
        <v/>
      </c>
      <c r="L10" s="374"/>
      <c r="M10" s="380" t="str">
        <f t="shared" si="18"/>
        <v/>
      </c>
      <c r="N10" s="374"/>
      <c r="O10" s="380" t="str">
        <f t="shared" si="19"/>
        <v/>
      </c>
      <c r="P10" s="374"/>
      <c r="Q10" s="380" t="str">
        <f t="shared" si="20"/>
        <v/>
      </c>
      <c r="R10" s="374"/>
      <c r="S10" s="380" t="str">
        <f t="shared" si="21"/>
        <v/>
      </c>
      <c r="T10" s="374"/>
      <c r="U10" s="380" t="str">
        <f t="shared" si="0"/>
        <v/>
      </c>
      <c r="V10" s="374"/>
      <c r="W10" s="380" t="str">
        <f t="shared" si="1"/>
        <v/>
      </c>
      <c r="X10" s="374"/>
      <c r="Y10" s="380" t="str">
        <f t="shared" si="2"/>
        <v/>
      </c>
      <c r="Z10" s="374"/>
      <c r="AA10" s="380" t="str">
        <f t="shared" si="3"/>
        <v/>
      </c>
      <c r="AB10" s="594"/>
      <c r="AC10" s="582" t="str">
        <f t="shared" si="22"/>
        <v/>
      </c>
      <c r="AD10" s="374"/>
      <c r="AE10" s="582" t="str">
        <f t="shared" si="22"/>
        <v/>
      </c>
      <c r="AF10" s="374"/>
      <c r="AG10" s="582" t="str">
        <f t="shared" si="4"/>
        <v/>
      </c>
      <c r="AH10" s="374"/>
      <c r="AI10" s="582" t="str">
        <f t="shared" si="5"/>
        <v/>
      </c>
      <c r="AJ10" s="596"/>
      <c r="AK10" s="582" t="str">
        <f t="shared" si="6"/>
        <v/>
      </c>
      <c r="AL10" s="596"/>
      <c r="AM10" s="582" t="str">
        <f t="shared" si="7"/>
        <v/>
      </c>
      <c r="AN10" s="596"/>
      <c r="AO10" s="582" t="str">
        <f t="shared" si="8"/>
        <v/>
      </c>
      <c r="AP10" s="596"/>
      <c r="AQ10" s="582" t="str">
        <f t="shared" si="9"/>
        <v/>
      </c>
      <c r="AR10" s="596"/>
      <c r="AS10" s="582" t="str">
        <f t="shared" si="10"/>
        <v/>
      </c>
      <c r="AT10" s="596"/>
      <c r="AU10" s="582" t="str">
        <f t="shared" si="11"/>
        <v/>
      </c>
      <c r="AV10" s="596"/>
      <c r="AW10" s="582" t="str">
        <f t="shared" si="12"/>
        <v/>
      </c>
      <c r="AX10" s="596"/>
      <c r="AY10" s="582" t="str">
        <f t="shared" si="13"/>
        <v/>
      </c>
      <c r="AZ10" s="596"/>
      <c r="BA10" s="582" t="str">
        <f t="shared" si="14"/>
        <v/>
      </c>
      <c r="BB10" s="791"/>
    </row>
    <row r="11" spans="1:54" ht="22.15" customHeight="1">
      <c r="A11" s="198">
        <v>4</v>
      </c>
      <c r="B11" s="1573"/>
      <c r="C11" s="376"/>
      <c r="D11" s="374"/>
      <c r="E11" s="380" t="str">
        <f t="shared" si="23"/>
        <v/>
      </c>
      <c r="F11" s="374"/>
      <c r="G11" s="380" t="str">
        <f t="shared" si="15"/>
        <v/>
      </c>
      <c r="H11" s="374"/>
      <c r="I11" s="380" t="str">
        <f t="shared" si="16"/>
        <v/>
      </c>
      <c r="J11" s="374"/>
      <c r="K11" s="380" t="str">
        <f t="shared" si="17"/>
        <v/>
      </c>
      <c r="L11" s="374"/>
      <c r="M11" s="380" t="str">
        <f t="shared" si="18"/>
        <v/>
      </c>
      <c r="N11" s="374"/>
      <c r="O11" s="380" t="str">
        <f t="shared" si="19"/>
        <v/>
      </c>
      <c r="P11" s="374"/>
      <c r="Q11" s="380" t="str">
        <f t="shared" si="20"/>
        <v/>
      </c>
      <c r="R11" s="374"/>
      <c r="S11" s="380" t="str">
        <f t="shared" si="21"/>
        <v/>
      </c>
      <c r="T11" s="374"/>
      <c r="U11" s="380" t="str">
        <f t="shared" si="0"/>
        <v/>
      </c>
      <c r="V11" s="374"/>
      <c r="W11" s="380" t="str">
        <f t="shared" si="1"/>
        <v/>
      </c>
      <c r="X11" s="374"/>
      <c r="Y11" s="380" t="str">
        <f t="shared" si="2"/>
        <v/>
      </c>
      <c r="Z11" s="374"/>
      <c r="AA11" s="380" t="str">
        <f t="shared" si="3"/>
        <v/>
      </c>
      <c r="AB11" s="594"/>
      <c r="AC11" s="582" t="str">
        <f t="shared" si="22"/>
        <v/>
      </c>
      <c r="AD11" s="374"/>
      <c r="AE11" s="582" t="str">
        <f t="shared" si="22"/>
        <v/>
      </c>
      <c r="AF11" s="374"/>
      <c r="AG11" s="582" t="str">
        <f t="shared" si="4"/>
        <v/>
      </c>
      <c r="AH11" s="374"/>
      <c r="AI11" s="582" t="str">
        <f t="shared" si="5"/>
        <v/>
      </c>
      <c r="AJ11" s="596"/>
      <c r="AK11" s="582" t="str">
        <f t="shared" si="6"/>
        <v/>
      </c>
      <c r="AL11" s="596"/>
      <c r="AM11" s="582" t="str">
        <f t="shared" si="7"/>
        <v/>
      </c>
      <c r="AN11" s="596"/>
      <c r="AO11" s="582" t="str">
        <f t="shared" si="8"/>
        <v/>
      </c>
      <c r="AP11" s="596"/>
      <c r="AQ11" s="582" t="str">
        <f t="shared" si="9"/>
        <v/>
      </c>
      <c r="AR11" s="596"/>
      <c r="AS11" s="582" t="str">
        <f t="shared" si="10"/>
        <v/>
      </c>
      <c r="AT11" s="596"/>
      <c r="AU11" s="582" t="str">
        <f t="shared" si="11"/>
        <v/>
      </c>
      <c r="AV11" s="596"/>
      <c r="AW11" s="582" t="str">
        <f t="shared" si="12"/>
        <v/>
      </c>
      <c r="AX11" s="596"/>
      <c r="AY11" s="582" t="str">
        <f t="shared" si="13"/>
        <v/>
      </c>
      <c r="AZ11" s="596"/>
      <c r="BA11" s="582" t="str">
        <f t="shared" si="14"/>
        <v/>
      </c>
      <c r="BB11" s="791"/>
    </row>
    <row r="12" spans="1:54" ht="22.15" customHeight="1">
      <c r="A12" s="198">
        <v>5</v>
      </c>
      <c r="B12" s="1573"/>
      <c r="C12" s="376"/>
      <c r="D12" s="374"/>
      <c r="E12" s="380" t="str">
        <f t="shared" si="23"/>
        <v/>
      </c>
      <c r="F12" s="374"/>
      <c r="G12" s="380" t="str">
        <f t="shared" si="15"/>
        <v/>
      </c>
      <c r="H12" s="374"/>
      <c r="I12" s="380" t="str">
        <f t="shared" si="16"/>
        <v/>
      </c>
      <c r="J12" s="374"/>
      <c r="K12" s="380" t="str">
        <f t="shared" si="17"/>
        <v/>
      </c>
      <c r="L12" s="374"/>
      <c r="M12" s="380" t="str">
        <f t="shared" si="18"/>
        <v/>
      </c>
      <c r="N12" s="374"/>
      <c r="O12" s="380" t="str">
        <f t="shared" si="19"/>
        <v/>
      </c>
      <c r="P12" s="374"/>
      <c r="Q12" s="380" t="str">
        <f t="shared" si="20"/>
        <v/>
      </c>
      <c r="R12" s="374"/>
      <c r="S12" s="380" t="str">
        <f t="shared" si="21"/>
        <v/>
      </c>
      <c r="T12" s="374"/>
      <c r="U12" s="380" t="str">
        <f t="shared" si="0"/>
        <v/>
      </c>
      <c r="V12" s="374"/>
      <c r="W12" s="380" t="str">
        <f t="shared" si="1"/>
        <v/>
      </c>
      <c r="X12" s="374"/>
      <c r="Y12" s="380" t="str">
        <f t="shared" si="2"/>
        <v/>
      </c>
      <c r="Z12" s="374"/>
      <c r="AA12" s="380" t="str">
        <f t="shared" si="3"/>
        <v/>
      </c>
      <c r="AB12" s="594"/>
      <c r="AC12" s="582" t="str">
        <f t="shared" si="22"/>
        <v/>
      </c>
      <c r="AD12" s="374"/>
      <c r="AE12" s="582" t="str">
        <f t="shared" si="22"/>
        <v/>
      </c>
      <c r="AF12" s="374"/>
      <c r="AG12" s="582" t="str">
        <f t="shared" si="4"/>
        <v/>
      </c>
      <c r="AH12" s="374"/>
      <c r="AI12" s="582" t="str">
        <f t="shared" si="5"/>
        <v/>
      </c>
      <c r="AJ12" s="596"/>
      <c r="AK12" s="582" t="str">
        <f t="shared" si="6"/>
        <v/>
      </c>
      <c r="AL12" s="596"/>
      <c r="AM12" s="582" t="str">
        <f t="shared" si="7"/>
        <v/>
      </c>
      <c r="AN12" s="596"/>
      <c r="AO12" s="582" t="str">
        <f t="shared" si="8"/>
        <v/>
      </c>
      <c r="AP12" s="596"/>
      <c r="AQ12" s="582" t="str">
        <f t="shared" si="9"/>
        <v/>
      </c>
      <c r="AR12" s="596"/>
      <c r="AS12" s="582" t="str">
        <f t="shared" si="10"/>
        <v/>
      </c>
      <c r="AT12" s="596"/>
      <c r="AU12" s="582" t="str">
        <f t="shared" si="11"/>
        <v/>
      </c>
      <c r="AV12" s="596"/>
      <c r="AW12" s="582" t="str">
        <f t="shared" si="12"/>
        <v/>
      </c>
      <c r="AX12" s="596"/>
      <c r="AY12" s="582" t="str">
        <f t="shared" si="13"/>
        <v/>
      </c>
      <c r="AZ12" s="596"/>
      <c r="BA12" s="582" t="str">
        <f t="shared" si="14"/>
        <v/>
      </c>
      <c r="BB12" s="791"/>
    </row>
    <row r="13" spans="1:54" ht="22.15" customHeight="1">
      <c r="A13" s="198">
        <v>6</v>
      </c>
      <c r="B13" s="1573"/>
      <c r="C13" s="376"/>
      <c r="D13" s="374"/>
      <c r="E13" s="380" t="str">
        <f t="shared" si="23"/>
        <v/>
      </c>
      <c r="F13" s="374"/>
      <c r="G13" s="380" t="str">
        <f t="shared" si="15"/>
        <v/>
      </c>
      <c r="H13" s="374"/>
      <c r="I13" s="380" t="str">
        <f t="shared" si="16"/>
        <v/>
      </c>
      <c r="J13" s="374"/>
      <c r="K13" s="380" t="str">
        <f t="shared" si="17"/>
        <v/>
      </c>
      <c r="L13" s="374"/>
      <c r="M13" s="380" t="str">
        <f t="shared" si="18"/>
        <v/>
      </c>
      <c r="N13" s="374"/>
      <c r="O13" s="380" t="str">
        <f t="shared" si="19"/>
        <v/>
      </c>
      <c r="P13" s="374"/>
      <c r="Q13" s="380" t="str">
        <f t="shared" si="20"/>
        <v/>
      </c>
      <c r="R13" s="374"/>
      <c r="S13" s="380" t="str">
        <f t="shared" si="21"/>
        <v/>
      </c>
      <c r="T13" s="374"/>
      <c r="U13" s="380" t="str">
        <f t="shared" si="0"/>
        <v/>
      </c>
      <c r="V13" s="374"/>
      <c r="W13" s="380" t="str">
        <f t="shared" si="1"/>
        <v/>
      </c>
      <c r="X13" s="374"/>
      <c r="Y13" s="380" t="str">
        <f t="shared" si="2"/>
        <v/>
      </c>
      <c r="Z13" s="374"/>
      <c r="AA13" s="380" t="str">
        <f t="shared" si="3"/>
        <v/>
      </c>
      <c r="AB13" s="594"/>
      <c r="AC13" s="582" t="str">
        <f t="shared" si="22"/>
        <v/>
      </c>
      <c r="AD13" s="374"/>
      <c r="AE13" s="582" t="str">
        <f t="shared" si="22"/>
        <v/>
      </c>
      <c r="AF13" s="374"/>
      <c r="AG13" s="582" t="str">
        <f t="shared" si="4"/>
        <v/>
      </c>
      <c r="AH13" s="374"/>
      <c r="AI13" s="582" t="str">
        <f t="shared" si="5"/>
        <v/>
      </c>
      <c r="AJ13" s="596"/>
      <c r="AK13" s="582" t="str">
        <f t="shared" si="6"/>
        <v/>
      </c>
      <c r="AL13" s="596"/>
      <c r="AM13" s="582" t="str">
        <f t="shared" si="7"/>
        <v/>
      </c>
      <c r="AN13" s="596"/>
      <c r="AO13" s="582" t="str">
        <f t="shared" si="8"/>
        <v/>
      </c>
      <c r="AP13" s="596"/>
      <c r="AQ13" s="582" t="str">
        <f t="shared" si="9"/>
        <v/>
      </c>
      <c r="AR13" s="596"/>
      <c r="AS13" s="582" t="str">
        <f t="shared" si="10"/>
        <v/>
      </c>
      <c r="AT13" s="596"/>
      <c r="AU13" s="582" t="str">
        <f t="shared" si="11"/>
        <v/>
      </c>
      <c r="AV13" s="596"/>
      <c r="AW13" s="582" t="str">
        <f t="shared" si="12"/>
        <v/>
      </c>
      <c r="AX13" s="596"/>
      <c r="AY13" s="582" t="str">
        <f t="shared" si="13"/>
        <v/>
      </c>
      <c r="AZ13" s="596"/>
      <c r="BA13" s="582" t="str">
        <f t="shared" si="14"/>
        <v/>
      </c>
      <c r="BB13" s="791"/>
    </row>
    <row r="14" spans="1:54" ht="22.15" customHeight="1">
      <c r="A14" s="198">
        <v>7</v>
      </c>
      <c r="B14" s="1573"/>
      <c r="C14" s="376"/>
      <c r="D14" s="374"/>
      <c r="E14" s="380" t="str">
        <f t="shared" si="23"/>
        <v/>
      </c>
      <c r="F14" s="374"/>
      <c r="G14" s="380" t="str">
        <f t="shared" si="15"/>
        <v/>
      </c>
      <c r="H14" s="374"/>
      <c r="I14" s="380" t="str">
        <f t="shared" si="16"/>
        <v/>
      </c>
      <c r="J14" s="374"/>
      <c r="K14" s="380" t="str">
        <f t="shared" si="17"/>
        <v/>
      </c>
      <c r="L14" s="374"/>
      <c r="M14" s="380" t="str">
        <f t="shared" si="18"/>
        <v/>
      </c>
      <c r="N14" s="374"/>
      <c r="O14" s="380" t="str">
        <f t="shared" si="19"/>
        <v/>
      </c>
      <c r="P14" s="374"/>
      <c r="Q14" s="380" t="str">
        <f t="shared" si="20"/>
        <v/>
      </c>
      <c r="R14" s="374"/>
      <c r="S14" s="380" t="str">
        <f t="shared" si="21"/>
        <v/>
      </c>
      <c r="T14" s="374"/>
      <c r="U14" s="380" t="str">
        <f t="shared" si="0"/>
        <v/>
      </c>
      <c r="V14" s="374"/>
      <c r="W14" s="380" t="str">
        <f t="shared" si="1"/>
        <v/>
      </c>
      <c r="X14" s="374"/>
      <c r="Y14" s="380" t="str">
        <f t="shared" si="2"/>
        <v/>
      </c>
      <c r="Z14" s="374"/>
      <c r="AA14" s="380" t="str">
        <f t="shared" si="3"/>
        <v/>
      </c>
      <c r="AB14" s="594"/>
      <c r="AC14" s="582" t="str">
        <f t="shared" si="22"/>
        <v/>
      </c>
      <c r="AD14" s="374"/>
      <c r="AE14" s="582" t="str">
        <f t="shared" si="22"/>
        <v/>
      </c>
      <c r="AF14" s="374"/>
      <c r="AG14" s="582" t="str">
        <f t="shared" si="4"/>
        <v/>
      </c>
      <c r="AH14" s="374"/>
      <c r="AI14" s="582" t="str">
        <f t="shared" si="5"/>
        <v/>
      </c>
      <c r="AJ14" s="596"/>
      <c r="AK14" s="582" t="str">
        <f t="shared" si="6"/>
        <v/>
      </c>
      <c r="AL14" s="596"/>
      <c r="AM14" s="582" t="str">
        <f t="shared" si="7"/>
        <v/>
      </c>
      <c r="AN14" s="596"/>
      <c r="AO14" s="582" t="str">
        <f t="shared" si="8"/>
        <v/>
      </c>
      <c r="AP14" s="596"/>
      <c r="AQ14" s="582" t="str">
        <f t="shared" si="9"/>
        <v/>
      </c>
      <c r="AR14" s="596"/>
      <c r="AS14" s="582" t="str">
        <f t="shared" si="10"/>
        <v/>
      </c>
      <c r="AT14" s="596"/>
      <c r="AU14" s="582" t="str">
        <f t="shared" si="11"/>
        <v/>
      </c>
      <c r="AV14" s="596"/>
      <c r="AW14" s="582" t="str">
        <f t="shared" si="12"/>
        <v/>
      </c>
      <c r="AX14" s="596"/>
      <c r="AY14" s="582" t="str">
        <f t="shared" si="13"/>
        <v/>
      </c>
      <c r="AZ14" s="596"/>
      <c r="BA14" s="582" t="str">
        <f t="shared" si="14"/>
        <v/>
      </c>
      <c r="BB14" s="791"/>
    </row>
    <row r="15" spans="1:54" ht="22.15" customHeight="1">
      <c r="A15" s="198">
        <v>8</v>
      </c>
      <c r="B15" s="1573"/>
      <c r="C15" s="376"/>
      <c r="D15" s="374"/>
      <c r="E15" s="380" t="str">
        <f t="shared" si="23"/>
        <v/>
      </c>
      <c r="F15" s="374"/>
      <c r="G15" s="380" t="str">
        <f t="shared" si="15"/>
        <v/>
      </c>
      <c r="H15" s="374"/>
      <c r="I15" s="380" t="str">
        <f t="shared" si="16"/>
        <v/>
      </c>
      <c r="J15" s="374"/>
      <c r="K15" s="380" t="str">
        <f t="shared" si="17"/>
        <v/>
      </c>
      <c r="L15" s="374"/>
      <c r="M15" s="380" t="str">
        <f t="shared" si="18"/>
        <v/>
      </c>
      <c r="N15" s="374"/>
      <c r="O15" s="380" t="str">
        <f t="shared" si="19"/>
        <v/>
      </c>
      <c r="P15" s="374"/>
      <c r="Q15" s="380" t="str">
        <f t="shared" si="20"/>
        <v/>
      </c>
      <c r="R15" s="374"/>
      <c r="S15" s="380" t="str">
        <f t="shared" si="21"/>
        <v/>
      </c>
      <c r="T15" s="374"/>
      <c r="U15" s="380" t="str">
        <f t="shared" si="0"/>
        <v/>
      </c>
      <c r="V15" s="374"/>
      <c r="W15" s="380" t="str">
        <f t="shared" si="1"/>
        <v/>
      </c>
      <c r="X15" s="374"/>
      <c r="Y15" s="380" t="str">
        <f t="shared" si="2"/>
        <v/>
      </c>
      <c r="Z15" s="374"/>
      <c r="AA15" s="380" t="str">
        <f t="shared" si="3"/>
        <v/>
      </c>
      <c r="AB15" s="594"/>
      <c r="AC15" s="582" t="str">
        <f t="shared" si="22"/>
        <v/>
      </c>
      <c r="AD15" s="374"/>
      <c r="AE15" s="582" t="str">
        <f t="shared" si="22"/>
        <v/>
      </c>
      <c r="AF15" s="374"/>
      <c r="AG15" s="582" t="str">
        <f t="shared" si="4"/>
        <v/>
      </c>
      <c r="AH15" s="374"/>
      <c r="AI15" s="582" t="str">
        <f t="shared" si="5"/>
        <v/>
      </c>
      <c r="AJ15" s="596"/>
      <c r="AK15" s="582" t="str">
        <f t="shared" si="6"/>
        <v/>
      </c>
      <c r="AL15" s="596"/>
      <c r="AM15" s="582" t="str">
        <f t="shared" si="7"/>
        <v/>
      </c>
      <c r="AN15" s="596"/>
      <c r="AO15" s="582" t="str">
        <f t="shared" si="8"/>
        <v/>
      </c>
      <c r="AP15" s="596"/>
      <c r="AQ15" s="582" t="str">
        <f t="shared" si="9"/>
        <v/>
      </c>
      <c r="AR15" s="596"/>
      <c r="AS15" s="582" t="str">
        <f t="shared" si="10"/>
        <v/>
      </c>
      <c r="AT15" s="596"/>
      <c r="AU15" s="582" t="str">
        <f t="shared" si="11"/>
        <v/>
      </c>
      <c r="AV15" s="596"/>
      <c r="AW15" s="582" t="str">
        <f t="shared" si="12"/>
        <v/>
      </c>
      <c r="AX15" s="596"/>
      <c r="AY15" s="582" t="str">
        <f t="shared" si="13"/>
        <v/>
      </c>
      <c r="AZ15" s="596"/>
      <c r="BA15" s="582" t="str">
        <f t="shared" si="14"/>
        <v/>
      </c>
      <c r="BB15" s="791"/>
    </row>
    <row r="16" spans="1:54" ht="22.15" customHeight="1">
      <c r="A16" s="198">
        <v>9</v>
      </c>
      <c r="B16" s="1573"/>
      <c r="C16" s="376"/>
      <c r="D16" s="374"/>
      <c r="E16" s="380" t="str">
        <f t="shared" si="23"/>
        <v/>
      </c>
      <c r="F16" s="374"/>
      <c r="G16" s="380" t="str">
        <f t="shared" si="15"/>
        <v/>
      </c>
      <c r="H16" s="374"/>
      <c r="I16" s="380" t="str">
        <f t="shared" si="16"/>
        <v/>
      </c>
      <c r="J16" s="374"/>
      <c r="K16" s="380" t="str">
        <f t="shared" si="17"/>
        <v/>
      </c>
      <c r="L16" s="374"/>
      <c r="M16" s="380" t="str">
        <f t="shared" si="18"/>
        <v/>
      </c>
      <c r="N16" s="374"/>
      <c r="O16" s="380" t="str">
        <f t="shared" si="19"/>
        <v/>
      </c>
      <c r="P16" s="374"/>
      <c r="Q16" s="380" t="str">
        <f t="shared" si="20"/>
        <v/>
      </c>
      <c r="R16" s="374"/>
      <c r="S16" s="380" t="str">
        <f t="shared" si="21"/>
        <v/>
      </c>
      <c r="T16" s="374"/>
      <c r="U16" s="380" t="str">
        <f t="shared" si="0"/>
        <v/>
      </c>
      <c r="V16" s="374"/>
      <c r="W16" s="380" t="str">
        <f t="shared" si="1"/>
        <v/>
      </c>
      <c r="X16" s="374"/>
      <c r="Y16" s="380" t="str">
        <f t="shared" si="2"/>
        <v/>
      </c>
      <c r="Z16" s="374"/>
      <c r="AA16" s="380" t="str">
        <f t="shared" si="3"/>
        <v/>
      </c>
      <c r="AB16" s="594"/>
      <c r="AC16" s="582" t="str">
        <f t="shared" si="22"/>
        <v/>
      </c>
      <c r="AD16" s="374"/>
      <c r="AE16" s="582" t="str">
        <f t="shared" si="22"/>
        <v/>
      </c>
      <c r="AF16" s="374"/>
      <c r="AG16" s="582" t="str">
        <f t="shared" si="4"/>
        <v/>
      </c>
      <c r="AH16" s="374"/>
      <c r="AI16" s="582" t="str">
        <f t="shared" si="5"/>
        <v/>
      </c>
      <c r="AJ16" s="596"/>
      <c r="AK16" s="582" t="str">
        <f t="shared" si="6"/>
        <v/>
      </c>
      <c r="AL16" s="596"/>
      <c r="AM16" s="582" t="str">
        <f t="shared" si="7"/>
        <v/>
      </c>
      <c r="AN16" s="596"/>
      <c r="AO16" s="582" t="str">
        <f t="shared" si="8"/>
        <v/>
      </c>
      <c r="AP16" s="596"/>
      <c r="AQ16" s="582" t="str">
        <f t="shared" si="9"/>
        <v/>
      </c>
      <c r="AR16" s="596"/>
      <c r="AS16" s="582" t="str">
        <f t="shared" si="10"/>
        <v/>
      </c>
      <c r="AT16" s="596"/>
      <c r="AU16" s="582" t="str">
        <f t="shared" si="11"/>
        <v/>
      </c>
      <c r="AV16" s="596"/>
      <c r="AW16" s="582" t="str">
        <f t="shared" si="12"/>
        <v/>
      </c>
      <c r="AX16" s="596"/>
      <c r="AY16" s="582" t="str">
        <f t="shared" si="13"/>
        <v/>
      </c>
      <c r="AZ16" s="596"/>
      <c r="BA16" s="582" t="str">
        <f t="shared" si="14"/>
        <v/>
      </c>
      <c r="BB16" s="791"/>
    </row>
    <row r="17" spans="1:54" ht="22.15" customHeight="1">
      <c r="A17" s="198">
        <v>10</v>
      </c>
      <c r="B17" s="710"/>
      <c r="C17" s="376"/>
      <c r="D17" s="374"/>
      <c r="E17" s="380" t="str">
        <f t="shared" si="23"/>
        <v/>
      </c>
      <c r="F17" s="374"/>
      <c r="G17" s="380" t="str">
        <f t="shared" si="15"/>
        <v/>
      </c>
      <c r="H17" s="374"/>
      <c r="I17" s="380" t="str">
        <f t="shared" si="16"/>
        <v/>
      </c>
      <c r="J17" s="374"/>
      <c r="K17" s="380" t="str">
        <f t="shared" si="17"/>
        <v/>
      </c>
      <c r="L17" s="374"/>
      <c r="M17" s="380" t="str">
        <f t="shared" si="18"/>
        <v/>
      </c>
      <c r="N17" s="374"/>
      <c r="O17" s="380" t="str">
        <f t="shared" si="19"/>
        <v/>
      </c>
      <c r="P17" s="374"/>
      <c r="Q17" s="380" t="str">
        <f t="shared" si="20"/>
        <v/>
      </c>
      <c r="R17" s="374"/>
      <c r="S17" s="380" t="str">
        <f t="shared" si="21"/>
        <v/>
      </c>
      <c r="T17" s="374"/>
      <c r="U17" s="380" t="str">
        <f t="shared" si="0"/>
        <v/>
      </c>
      <c r="V17" s="374"/>
      <c r="W17" s="380" t="str">
        <f t="shared" si="1"/>
        <v/>
      </c>
      <c r="X17" s="374"/>
      <c r="Y17" s="380" t="str">
        <f t="shared" si="2"/>
        <v/>
      </c>
      <c r="Z17" s="374"/>
      <c r="AA17" s="380" t="str">
        <f t="shared" si="3"/>
        <v/>
      </c>
      <c r="AB17" s="594"/>
      <c r="AC17" s="582" t="str">
        <f t="shared" si="22"/>
        <v/>
      </c>
      <c r="AD17" s="374"/>
      <c r="AE17" s="582" t="str">
        <f t="shared" si="22"/>
        <v/>
      </c>
      <c r="AF17" s="374"/>
      <c r="AG17" s="582" t="str">
        <f t="shared" si="4"/>
        <v/>
      </c>
      <c r="AH17" s="374"/>
      <c r="AI17" s="582" t="str">
        <f t="shared" si="5"/>
        <v/>
      </c>
      <c r="AJ17" s="596"/>
      <c r="AK17" s="582" t="str">
        <f t="shared" si="6"/>
        <v/>
      </c>
      <c r="AL17" s="596"/>
      <c r="AM17" s="582" t="str">
        <f t="shared" si="7"/>
        <v/>
      </c>
      <c r="AN17" s="596"/>
      <c r="AO17" s="582" t="str">
        <f t="shared" si="8"/>
        <v/>
      </c>
      <c r="AP17" s="596"/>
      <c r="AQ17" s="582" t="str">
        <f t="shared" si="9"/>
        <v/>
      </c>
      <c r="AR17" s="596"/>
      <c r="AS17" s="582" t="str">
        <f t="shared" si="10"/>
        <v/>
      </c>
      <c r="AT17" s="596"/>
      <c r="AU17" s="582" t="str">
        <f t="shared" si="11"/>
        <v/>
      </c>
      <c r="AV17" s="596"/>
      <c r="AW17" s="582" t="str">
        <f t="shared" si="12"/>
        <v/>
      </c>
      <c r="AX17" s="596"/>
      <c r="AY17" s="582" t="str">
        <f t="shared" si="13"/>
        <v/>
      </c>
      <c r="AZ17" s="596"/>
      <c r="BA17" s="582" t="str">
        <f t="shared" si="14"/>
        <v/>
      </c>
      <c r="BB17" s="791"/>
    </row>
    <row r="18" spans="1:54" ht="22.15" customHeight="1">
      <c r="A18" s="198">
        <v>11</v>
      </c>
      <c r="B18" s="710"/>
      <c r="C18" s="376"/>
      <c r="D18" s="374"/>
      <c r="E18" s="380" t="str">
        <f t="shared" si="23"/>
        <v/>
      </c>
      <c r="F18" s="374"/>
      <c r="G18" s="380" t="str">
        <f t="shared" si="15"/>
        <v/>
      </c>
      <c r="H18" s="374"/>
      <c r="I18" s="380" t="str">
        <f t="shared" si="16"/>
        <v/>
      </c>
      <c r="J18" s="374"/>
      <c r="K18" s="380" t="str">
        <f t="shared" si="17"/>
        <v/>
      </c>
      <c r="L18" s="374"/>
      <c r="M18" s="380" t="str">
        <f t="shared" si="18"/>
        <v/>
      </c>
      <c r="N18" s="374"/>
      <c r="O18" s="380" t="str">
        <f t="shared" si="19"/>
        <v/>
      </c>
      <c r="P18" s="374"/>
      <c r="Q18" s="380" t="str">
        <f t="shared" si="20"/>
        <v/>
      </c>
      <c r="R18" s="374"/>
      <c r="S18" s="380" t="str">
        <f t="shared" si="21"/>
        <v/>
      </c>
      <c r="T18" s="374"/>
      <c r="U18" s="380" t="str">
        <f t="shared" si="0"/>
        <v/>
      </c>
      <c r="V18" s="374"/>
      <c r="W18" s="380" t="str">
        <f t="shared" si="1"/>
        <v/>
      </c>
      <c r="X18" s="374"/>
      <c r="Y18" s="380" t="str">
        <f t="shared" si="2"/>
        <v/>
      </c>
      <c r="Z18" s="374"/>
      <c r="AA18" s="380" t="str">
        <f t="shared" si="3"/>
        <v/>
      </c>
      <c r="AB18" s="594"/>
      <c r="AC18" s="582" t="str">
        <f t="shared" si="22"/>
        <v/>
      </c>
      <c r="AD18" s="374"/>
      <c r="AE18" s="582" t="str">
        <f t="shared" si="22"/>
        <v/>
      </c>
      <c r="AF18" s="374"/>
      <c r="AG18" s="582" t="str">
        <f t="shared" si="4"/>
        <v/>
      </c>
      <c r="AH18" s="374"/>
      <c r="AI18" s="582" t="str">
        <f t="shared" si="5"/>
        <v/>
      </c>
      <c r="AJ18" s="596"/>
      <c r="AK18" s="582" t="str">
        <f t="shared" si="6"/>
        <v/>
      </c>
      <c r="AL18" s="596"/>
      <c r="AM18" s="582" t="str">
        <f t="shared" si="7"/>
        <v/>
      </c>
      <c r="AN18" s="596"/>
      <c r="AO18" s="582" t="str">
        <f t="shared" si="8"/>
        <v/>
      </c>
      <c r="AP18" s="596"/>
      <c r="AQ18" s="582" t="str">
        <f t="shared" si="9"/>
        <v/>
      </c>
      <c r="AR18" s="596"/>
      <c r="AS18" s="582" t="str">
        <f t="shared" si="10"/>
        <v/>
      </c>
      <c r="AT18" s="596"/>
      <c r="AU18" s="582" t="str">
        <f t="shared" si="11"/>
        <v/>
      </c>
      <c r="AV18" s="596"/>
      <c r="AW18" s="582" t="str">
        <f t="shared" si="12"/>
        <v/>
      </c>
      <c r="AX18" s="596"/>
      <c r="AY18" s="582" t="str">
        <f t="shared" si="13"/>
        <v/>
      </c>
      <c r="AZ18" s="596"/>
      <c r="BA18" s="582" t="str">
        <f t="shared" si="14"/>
        <v/>
      </c>
      <c r="BB18" s="791"/>
    </row>
    <row r="19" spans="1:54" ht="22.15" customHeight="1">
      <c r="A19" s="198">
        <v>12</v>
      </c>
      <c r="B19" s="710"/>
      <c r="C19" s="376"/>
      <c r="D19" s="374"/>
      <c r="E19" s="380" t="str">
        <f t="shared" si="23"/>
        <v/>
      </c>
      <c r="F19" s="374"/>
      <c r="G19" s="380" t="str">
        <f t="shared" si="15"/>
        <v/>
      </c>
      <c r="H19" s="374"/>
      <c r="I19" s="380" t="str">
        <f t="shared" si="16"/>
        <v/>
      </c>
      <c r="J19" s="374"/>
      <c r="K19" s="380" t="str">
        <f t="shared" si="17"/>
        <v/>
      </c>
      <c r="L19" s="374"/>
      <c r="M19" s="380" t="str">
        <f t="shared" si="18"/>
        <v/>
      </c>
      <c r="N19" s="374"/>
      <c r="O19" s="380" t="str">
        <f t="shared" si="19"/>
        <v/>
      </c>
      <c r="P19" s="374"/>
      <c r="Q19" s="380" t="str">
        <f t="shared" si="20"/>
        <v/>
      </c>
      <c r="R19" s="374"/>
      <c r="S19" s="380" t="str">
        <f t="shared" si="21"/>
        <v/>
      </c>
      <c r="T19" s="374"/>
      <c r="U19" s="380" t="str">
        <f t="shared" si="0"/>
        <v/>
      </c>
      <c r="V19" s="374"/>
      <c r="W19" s="380" t="str">
        <f t="shared" si="1"/>
        <v/>
      </c>
      <c r="X19" s="374"/>
      <c r="Y19" s="380" t="str">
        <f t="shared" si="2"/>
        <v/>
      </c>
      <c r="Z19" s="374"/>
      <c r="AA19" s="380" t="str">
        <f t="shared" si="3"/>
        <v/>
      </c>
      <c r="AB19" s="594"/>
      <c r="AC19" s="582" t="str">
        <f t="shared" si="22"/>
        <v/>
      </c>
      <c r="AD19" s="374"/>
      <c r="AE19" s="582" t="str">
        <f t="shared" si="22"/>
        <v/>
      </c>
      <c r="AF19" s="374"/>
      <c r="AG19" s="582" t="str">
        <f t="shared" si="4"/>
        <v/>
      </c>
      <c r="AH19" s="374"/>
      <c r="AI19" s="582" t="str">
        <f t="shared" si="5"/>
        <v/>
      </c>
      <c r="AJ19" s="596"/>
      <c r="AK19" s="582" t="str">
        <f t="shared" si="6"/>
        <v/>
      </c>
      <c r="AL19" s="596"/>
      <c r="AM19" s="582" t="str">
        <f t="shared" si="7"/>
        <v/>
      </c>
      <c r="AN19" s="596"/>
      <c r="AO19" s="582" t="str">
        <f t="shared" si="8"/>
        <v/>
      </c>
      <c r="AP19" s="596"/>
      <c r="AQ19" s="582" t="str">
        <f t="shared" si="9"/>
        <v/>
      </c>
      <c r="AR19" s="596"/>
      <c r="AS19" s="582" t="str">
        <f t="shared" si="10"/>
        <v/>
      </c>
      <c r="AT19" s="596"/>
      <c r="AU19" s="582" t="str">
        <f t="shared" si="11"/>
        <v/>
      </c>
      <c r="AV19" s="596"/>
      <c r="AW19" s="582" t="str">
        <f t="shared" si="12"/>
        <v/>
      </c>
      <c r="AX19" s="596"/>
      <c r="AY19" s="582" t="str">
        <f t="shared" si="13"/>
        <v/>
      </c>
      <c r="AZ19" s="596"/>
      <c r="BA19" s="582" t="str">
        <f t="shared" si="14"/>
        <v/>
      </c>
      <c r="BB19" s="791"/>
    </row>
    <row r="20" spans="1:54" ht="22.15" customHeight="1">
      <c r="A20" s="198">
        <v>13</v>
      </c>
      <c r="B20" s="710"/>
      <c r="C20" s="376"/>
      <c r="D20" s="374"/>
      <c r="E20" s="380" t="str">
        <f t="shared" si="23"/>
        <v/>
      </c>
      <c r="F20" s="374"/>
      <c r="G20" s="380" t="str">
        <f t="shared" si="15"/>
        <v/>
      </c>
      <c r="H20" s="374"/>
      <c r="I20" s="380" t="str">
        <f t="shared" si="16"/>
        <v/>
      </c>
      <c r="J20" s="374"/>
      <c r="K20" s="380" t="str">
        <f t="shared" si="17"/>
        <v/>
      </c>
      <c r="L20" s="374"/>
      <c r="M20" s="380" t="str">
        <f t="shared" si="18"/>
        <v/>
      </c>
      <c r="N20" s="374"/>
      <c r="O20" s="380" t="str">
        <f t="shared" si="19"/>
        <v/>
      </c>
      <c r="P20" s="374"/>
      <c r="Q20" s="380" t="str">
        <f t="shared" si="20"/>
        <v/>
      </c>
      <c r="R20" s="374"/>
      <c r="S20" s="380" t="str">
        <f t="shared" si="21"/>
        <v/>
      </c>
      <c r="T20" s="374"/>
      <c r="U20" s="380" t="str">
        <f t="shared" si="0"/>
        <v/>
      </c>
      <c r="V20" s="374"/>
      <c r="W20" s="380" t="str">
        <f t="shared" si="1"/>
        <v/>
      </c>
      <c r="X20" s="374"/>
      <c r="Y20" s="380" t="str">
        <f t="shared" si="2"/>
        <v/>
      </c>
      <c r="Z20" s="374"/>
      <c r="AA20" s="380" t="str">
        <f t="shared" si="3"/>
        <v/>
      </c>
      <c r="AB20" s="594"/>
      <c r="AC20" s="582" t="str">
        <f t="shared" si="22"/>
        <v/>
      </c>
      <c r="AD20" s="374"/>
      <c r="AE20" s="582" t="str">
        <f t="shared" si="22"/>
        <v/>
      </c>
      <c r="AF20" s="374"/>
      <c r="AG20" s="582" t="str">
        <f t="shared" si="4"/>
        <v/>
      </c>
      <c r="AH20" s="374"/>
      <c r="AI20" s="582" t="str">
        <f t="shared" si="5"/>
        <v/>
      </c>
      <c r="AJ20" s="596"/>
      <c r="AK20" s="582" t="str">
        <f t="shared" si="6"/>
        <v/>
      </c>
      <c r="AL20" s="596"/>
      <c r="AM20" s="582" t="str">
        <f t="shared" si="7"/>
        <v/>
      </c>
      <c r="AN20" s="596"/>
      <c r="AO20" s="582" t="str">
        <f t="shared" si="8"/>
        <v/>
      </c>
      <c r="AP20" s="596"/>
      <c r="AQ20" s="582" t="str">
        <f t="shared" si="9"/>
        <v/>
      </c>
      <c r="AR20" s="596"/>
      <c r="AS20" s="582" t="str">
        <f t="shared" si="10"/>
        <v/>
      </c>
      <c r="AT20" s="596"/>
      <c r="AU20" s="582" t="str">
        <f t="shared" si="11"/>
        <v/>
      </c>
      <c r="AV20" s="596"/>
      <c r="AW20" s="582" t="str">
        <f t="shared" si="12"/>
        <v/>
      </c>
      <c r="AX20" s="596"/>
      <c r="AY20" s="582" t="str">
        <f t="shared" si="13"/>
        <v/>
      </c>
      <c r="AZ20" s="596"/>
      <c r="BA20" s="582" t="str">
        <f t="shared" si="14"/>
        <v/>
      </c>
      <c r="BB20" s="791"/>
    </row>
    <row r="21" spans="1:54" ht="22.15" customHeight="1">
      <c r="A21" s="198">
        <v>14</v>
      </c>
      <c r="B21" s="710"/>
      <c r="C21" s="376"/>
      <c r="D21" s="374"/>
      <c r="E21" s="380" t="str">
        <f t="shared" si="23"/>
        <v/>
      </c>
      <c r="F21" s="374"/>
      <c r="G21" s="380" t="str">
        <f t="shared" si="15"/>
        <v/>
      </c>
      <c r="H21" s="374"/>
      <c r="I21" s="380" t="str">
        <f t="shared" si="16"/>
        <v/>
      </c>
      <c r="J21" s="374"/>
      <c r="K21" s="380" t="str">
        <f t="shared" si="17"/>
        <v/>
      </c>
      <c r="L21" s="374"/>
      <c r="M21" s="380" t="str">
        <f t="shared" si="18"/>
        <v/>
      </c>
      <c r="N21" s="374"/>
      <c r="O21" s="380" t="str">
        <f t="shared" si="19"/>
        <v/>
      </c>
      <c r="P21" s="374"/>
      <c r="Q21" s="380" t="str">
        <f t="shared" si="20"/>
        <v/>
      </c>
      <c r="R21" s="374"/>
      <c r="S21" s="380" t="str">
        <f t="shared" si="21"/>
        <v/>
      </c>
      <c r="T21" s="374"/>
      <c r="U21" s="380" t="str">
        <f t="shared" si="0"/>
        <v/>
      </c>
      <c r="V21" s="374"/>
      <c r="W21" s="380" t="str">
        <f t="shared" si="1"/>
        <v/>
      </c>
      <c r="X21" s="374"/>
      <c r="Y21" s="380" t="str">
        <f t="shared" si="2"/>
        <v/>
      </c>
      <c r="Z21" s="374"/>
      <c r="AA21" s="380" t="str">
        <f t="shared" si="3"/>
        <v/>
      </c>
      <c r="AB21" s="594"/>
      <c r="AC21" s="582" t="str">
        <f t="shared" si="22"/>
        <v/>
      </c>
      <c r="AD21" s="374"/>
      <c r="AE21" s="582" t="str">
        <f t="shared" si="22"/>
        <v/>
      </c>
      <c r="AF21" s="374"/>
      <c r="AG21" s="582" t="str">
        <f t="shared" si="4"/>
        <v/>
      </c>
      <c r="AH21" s="374"/>
      <c r="AI21" s="582" t="str">
        <f t="shared" si="5"/>
        <v/>
      </c>
      <c r="AJ21" s="596"/>
      <c r="AK21" s="582" t="str">
        <f t="shared" si="6"/>
        <v/>
      </c>
      <c r="AL21" s="596"/>
      <c r="AM21" s="582" t="str">
        <f t="shared" si="7"/>
        <v/>
      </c>
      <c r="AN21" s="596"/>
      <c r="AO21" s="582" t="str">
        <f t="shared" si="8"/>
        <v/>
      </c>
      <c r="AP21" s="596"/>
      <c r="AQ21" s="582" t="str">
        <f t="shared" si="9"/>
        <v/>
      </c>
      <c r="AR21" s="596"/>
      <c r="AS21" s="582" t="str">
        <f t="shared" si="10"/>
        <v/>
      </c>
      <c r="AT21" s="596"/>
      <c r="AU21" s="582" t="str">
        <f t="shared" si="11"/>
        <v/>
      </c>
      <c r="AV21" s="596"/>
      <c r="AW21" s="582" t="str">
        <f t="shared" si="12"/>
        <v/>
      </c>
      <c r="AX21" s="596"/>
      <c r="AY21" s="582" t="str">
        <f t="shared" si="13"/>
        <v/>
      </c>
      <c r="AZ21" s="596"/>
      <c r="BA21" s="582" t="str">
        <f t="shared" si="14"/>
        <v/>
      </c>
      <c r="BB21" s="791"/>
    </row>
    <row r="22" spans="1:54" ht="22.15" customHeight="1">
      <c r="A22" s="198">
        <v>15</v>
      </c>
      <c r="B22" s="710"/>
      <c r="C22" s="376"/>
      <c r="D22" s="374"/>
      <c r="E22" s="380" t="str">
        <f t="shared" si="23"/>
        <v/>
      </c>
      <c r="F22" s="374"/>
      <c r="G22" s="380" t="str">
        <f t="shared" si="15"/>
        <v/>
      </c>
      <c r="H22" s="374"/>
      <c r="I22" s="380" t="str">
        <f t="shared" si="16"/>
        <v/>
      </c>
      <c r="J22" s="374"/>
      <c r="K22" s="380" t="str">
        <f t="shared" si="17"/>
        <v/>
      </c>
      <c r="L22" s="374"/>
      <c r="M22" s="380" t="str">
        <f t="shared" si="18"/>
        <v/>
      </c>
      <c r="N22" s="374"/>
      <c r="O22" s="380" t="str">
        <f t="shared" si="19"/>
        <v/>
      </c>
      <c r="P22" s="374"/>
      <c r="Q22" s="380" t="str">
        <f t="shared" si="20"/>
        <v/>
      </c>
      <c r="R22" s="374"/>
      <c r="S22" s="380" t="str">
        <f t="shared" si="21"/>
        <v/>
      </c>
      <c r="T22" s="374"/>
      <c r="U22" s="380" t="str">
        <f t="shared" si="0"/>
        <v/>
      </c>
      <c r="V22" s="374"/>
      <c r="W22" s="380" t="str">
        <f t="shared" si="1"/>
        <v/>
      </c>
      <c r="X22" s="374"/>
      <c r="Y22" s="380" t="str">
        <f t="shared" si="2"/>
        <v/>
      </c>
      <c r="Z22" s="374"/>
      <c r="AA22" s="380" t="str">
        <f t="shared" si="3"/>
        <v/>
      </c>
      <c r="AB22" s="594"/>
      <c r="AC22" s="582" t="str">
        <f t="shared" si="22"/>
        <v/>
      </c>
      <c r="AD22" s="374"/>
      <c r="AE22" s="582" t="str">
        <f t="shared" si="22"/>
        <v/>
      </c>
      <c r="AF22" s="374"/>
      <c r="AG22" s="582" t="str">
        <f t="shared" si="4"/>
        <v/>
      </c>
      <c r="AH22" s="374"/>
      <c r="AI22" s="582" t="str">
        <f t="shared" si="5"/>
        <v/>
      </c>
      <c r="AJ22" s="596"/>
      <c r="AK22" s="582" t="str">
        <f t="shared" si="6"/>
        <v/>
      </c>
      <c r="AL22" s="596"/>
      <c r="AM22" s="582" t="str">
        <f t="shared" si="7"/>
        <v/>
      </c>
      <c r="AN22" s="596"/>
      <c r="AO22" s="582" t="str">
        <f t="shared" si="8"/>
        <v/>
      </c>
      <c r="AP22" s="596"/>
      <c r="AQ22" s="582" t="str">
        <f t="shared" si="9"/>
        <v/>
      </c>
      <c r="AR22" s="596"/>
      <c r="AS22" s="582" t="str">
        <f t="shared" si="10"/>
        <v/>
      </c>
      <c r="AT22" s="596"/>
      <c r="AU22" s="582" t="str">
        <f t="shared" si="11"/>
        <v/>
      </c>
      <c r="AV22" s="596"/>
      <c r="AW22" s="582" t="str">
        <f t="shared" si="12"/>
        <v/>
      </c>
      <c r="AX22" s="596"/>
      <c r="AY22" s="582" t="str">
        <f t="shared" si="13"/>
        <v/>
      </c>
      <c r="AZ22" s="596"/>
      <c r="BA22" s="582" t="str">
        <f t="shared" si="14"/>
        <v/>
      </c>
      <c r="BB22" s="791"/>
    </row>
    <row r="23" spans="1:54" ht="22.15" customHeight="1">
      <c r="A23" s="198">
        <v>16</v>
      </c>
      <c r="B23" s="710"/>
      <c r="C23" s="376"/>
      <c r="D23" s="374"/>
      <c r="E23" s="380" t="str">
        <f t="shared" si="23"/>
        <v/>
      </c>
      <c r="F23" s="374"/>
      <c r="G23" s="380" t="str">
        <f t="shared" si="15"/>
        <v/>
      </c>
      <c r="H23" s="374"/>
      <c r="I23" s="380" t="str">
        <f t="shared" si="16"/>
        <v/>
      </c>
      <c r="J23" s="374"/>
      <c r="K23" s="380" t="str">
        <f t="shared" si="17"/>
        <v/>
      </c>
      <c r="L23" s="374"/>
      <c r="M23" s="380" t="str">
        <f t="shared" si="18"/>
        <v/>
      </c>
      <c r="N23" s="374"/>
      <c r="O23" s="380" t="str">
        <f t="shared" si="19"/>
        <v/>
      </c>
      <c r="P23" s="374"/>
      <c r="Q23" s="380" t="str">
        <f t="shared" si="20"/>
        <v/>
      </c>
      <c r="R23" s="374"/>
      <c r="S23" s="380" t="str">
        <f t="shared" si="21"/>
        <v/>
      </c>
      <c r="T23" s="374"/>
      <c r="U23" s="380" t="str">
        <f t="shared" si="0"/>
        <v/>
      </c>
      <c r="V23" s="374"/>
      <c r="W23" s="380" t="str">
        <f t="shared" si="1"/>
        <v/>
      </c>
      <c r="X23" s="374"/>
      <c r="Y23" s="380" t="str">
        <f t="shared" si="2"/>
        <v/>
      </c>
      <c r="Z23" s="374"/>
      <c r="AA23" s="380" t="str">
        <f t="shared" si="3"/>
        <v/>
      </c>
      <c r="AB23" s="594"/>
      <c r="AC23" s="582" t="str">
        <f t="shared" si="22"/>
        <v/>
      </c>
      <c r="AD23" s="374"/>
      <c r="AE23" s="582" t="str">
        <f t="shared" si="22"/>
        <v/>
      </c>
      <c r="AF23" s="374"/>
      <c r="AG23" s="582" t="str">
        <f t="shared" si="4"/>
        <v/>
      </c>
      <c r="AH23" s="374"/>
      <c r="AI23" s="582" t="str">
        <f t="shared" si="5"/>
        <v/>
      </c>
      <c r="AJ23" s="596"/>
      <c r="AK23" s="582" t="str">
        <f t="shared" si="6"/>
        <v/>
      </c>
      <c r="AL23" s="596"/>
      <c r="AM23" s="582" t="str">
        <f t="shared" si="7"/>
        <v/>
      </c>
      <c r="AN23" s="596"/>
      <c r="AO23" s="582" t="str">
        <f t="shared" si="8"/>
        <v/>
      </c>
      <c r="AP23" s="596"/>
      <c r="AQ23" s="582" t="str">
        <f t="shared" si="9"/>
        <v/>
      </c>
      <c r="AR23" s="596"/>
      <c r="AS23" s="582" t="str">
        <f t="shared" si="10"/>
        <v/>
      </c>
      <c r="AT23" s="596"/>
      <c r="AU23" s="582" t="str">
        <f t="shared" si="11"/>
        <v/>
      </c>
      <c r="AV23" s="596"/>
      <c r="AW23" s="582" t="str">
        <f t="shared" si="12"/>
        <v/>
      </c>
      <c r="AX23" s="596"/>
      <c r="AY23" s="582" t="str">
        <f t="shared" si="13"/>
        <v/>
      </c>
      <c r="AZ23" s="596"/>
      <c r="BA23" s="582" t="str">
        <f t="shared" si="14"/>
        <v/>
      </c>
      <c r="BB23" s="791"/>
    </row>
    <row r="24" spans="1:54" ht="22.15" customHeight="1">
      <c r="A24" s="198">
        <v>17</v>
      </c>
      <c r="B24" s="710"/>
      <c r="C24" s="376"/>
      <c r="D24" s="374"/>
      <c r="E24" s="380" t="str">
        <f t="shared" si="23"/>
        <v/>
      </c>
      <c r="F24" s="374"/>
      <c r="G24" s="380" t="str">
        <f t="shared" si="15"/>
        <v/>
      </c>
      <c r="H24" s="374"/>
      <c r="I24" s="380" t="str">
        <f t="shared" si="16"/>
        <v/>
      </c>
      <c r="J24" s="374"/>
      <c r="K24" s="380" t="str">
        <f t="shared" si="17"/>
        <v/>
      </c>
      <c r="L24" s="374"/>
      <c r="M24" s="380" t="str">
        <f t="shared" si="18"/>
        <v/>
      </c>
      <c r="N24" s="374"/>
      <c r="O24" s="380" t="str">
        <f t="shared" si="19"/>
        <v/>
      </c>
      <c r="P24" s="374"/>
      <c r="Q24" s="380" t="str">
        <f t="shared" si="20"/>
        <v/>
      </c>
      <c r="R24" s="374"/>
      <c r="S24" s="380" t="str">
        <f t="shared" si="21"/>
        <v/>
      </c>
      <c r="T24" s="374"/>
      <c r="U24" s="380" t="str">
        <f t="shared" si="0"/>
        <v/>
      </c>
      <c r="V24" s="374"/>
      <c r="W24" s="380" t="str">
        <f t="shared" si="1"/>
        <v/>
      </c>
      <c r="X24" s="374"/>
      <c r="Y24" s="380" t="str">
        <f t="shared" si="2"/>
        <v/>
      </c>
      <c r="Z24" s="374"/>
      <c r="AA24" s="380" t="str">
        <f t="shared" si="3"/>
        <v/>
      </c>
      <c r="AB24" s="594"/>
      <c r="AC24" s="582" t="str">
        <f t="shared" si="22"/>
        <v/>
      </c>
      <c r="AD24" s="374"/>
      <c r="AE24" s="582" t="str">
        <f t="shared" si="22"/>
        <v/>
      </c>
      <c r="AF24" s="374"/>
      <c r="AG24" s="582" t="str">
        <f t="shared" si="4"/>
        <v/>
      </c>
      <c r="AH24" s="374"/>
      <c r="AI24" s="582" t="str">
        <f t="shared" si="5"/>
        <v/>
      </c>
      <c r="AJ24" s="596"/>
      <c r="AK24" s="582" t="str">
        <f t="shared" si="6"/>
        <v/>
      </c>
      <c r="AL24" s="596"/>
      <c r="AM24" s="582" t="str">
        <f t="shared" si="7"/>
        <v/>
      </c>
      <c r="AN24" s="596"/>
      <c r="AO24" s="582" t="str">
        <f t="shared" si="8"/>
        <v/>
      </c>
      <c r="AP24" s="596"/>
      <c r="AQ24" s="582" t="str">
        <f t="shared" si="9"/>
        <v/>
      </c>
      <c r="AR24" s="596"/>
      <c r="AS24" s="582" t="str">
        <f t="shared" si="10"/>
        <v/>
      </c>
      <c r="AT24" s="596"/>
      <c r="AU24" s="582" t="str">
        <f t="shared" si="11"/>
        <v/>
      </c>
      <c r="AV24" s="596"/>
      <c r="AW24" s="582" t="str">
        <f t="shared" si="12"/>
        <v/>
      </c>
      <c r="AX24" s="596"/>
      <c r="AY24" s="582" t="str">
        <f t="shared" si="13"/>
        <v/>
      </c>
      <c r="AZ24" s="596"/>
      <c r="BA24" s="582" t="str">
        <f t="shared" si="14"/>
        <v/>
      </c>
      <c r="BB24" s="791"/>
    </row>
    <row r="25" spans="1:54" ht="22.15" customHeight="1">
      <c r="A25" s="198">
        <v>18</v>
      </c>
      <c r="B25" s="710"/>
      <c r="C25" s="376"/>
      <c r="D25" s="374"/>
      <c r="E25" s="380" t="str">
        <f t="shared" si="23"/>
        <v/>
      </c>
      <c r="F25" s="374"/>
      <c r="G25" s="380" t="str">
        <f t="shared" si="15"/>
        <v/>
      </c>
      <c r="H25" s="374"/>
      <c r="I25" s="380" t="str">
        <f t="shared" si="16"/>
        <v/>
      </c>
      <c r="J25" s="374"/>
      <c r="K25" s="380" t="str">
        <f t="shared" si="17"/>
        <v/>
      </c>
      <c r="L25" s="374"/>
      <c r="M25" s="380" t="str">
        <f t="shared" si="18"/>
        <v/>
      </c>
      <c r="N25" s="374"/>
      <c r="O25" s="380" t="str">
        <f t="shared" si="19"/>
        <v/>
      </c>
      <c r="P25" s="374"/>
      <c r="Q25" s="380" t="str">
        <f t="shared" si="20"/>
        <v/>
      </c>
      <c r="R25" s="374"/>
      <c r="S25" s="380" t="str">
        <f t="shared" si="21"/>
        <v/>
      </c>
      <c r="T25" s="374"/>
      <c r="U25" s="381" t="str">
        <f t="shared" si="0"/>
        <v/>
      </c>
      <c r="V25" s="374"/>
      <c r="W25" s="381" t="str">
        <f t="shared" si="1"/>
        <v/>
      </c>
      <c r="X25" s="374"/>
      <c r="Y25" s="381" t="str">
        <f t="shared" si="2"/>
        <v/>
      </c>
      <c r="Z25" s="374"/>
      <c r="AA25" s="380" t="str">
        <f t="shared" si="3"/>
        <v/>
      </c>
      <c r="AB25" s="594"/>
      <c r="AC25" s="582" t="str">
        <f t="shared" si="22"/>
        <v/>
      </c>
      <c r="AD25" s="374"/>
      <c r="AE25" s="582" t="str">
        <f t="shared" si="22"/>
        <v/>
      </c>
      <c r="AF25" s="374"/>
      <c r="AG25" s="582" t="str">
        <f t="shared" si="4"/>
        <v/>
      </c>
      <c r="AH25" s="374"/>
      <c r="AI25" s="582" t="str">
        <f t="shared" si="5"/>
        <v/>
      </c>
      <c r="AJ25" s="596"/>
      <c r="AK25" s="582" t="str">
        <f t="shared" si="6"/>
        <v/>
      </c>
      <c r="AL25" s="596"/>
      <c r="AM25" s="582" t="str">
        <f t="shared" si="7"/>
        <v/>
      </c>
      <c r="AN25" s="596"/>
      <c r="AO25" s="582" t="str">
        <f t="shared" si="8"/>
        <v/>
      </c>
      <c r="AP25" s="596"/>
      <c r="AQ25" s="582" t="str">
        <f t="shared" si="9"/>
        <v/>
      </c>
      <c r="AR25" s="596"/>
      <c r="AS25" s="582" t="str">
        <f t="shared" si="10"/>
        <v/>
      </c>
      <c r="AT25" s="596"/>
      <c r="AU25" s="582" t="str">
        <f t="shared" si="11"/>
        <v/>
      </c>
      <c r="AV25" s="596"/>
      <c r="AW25" s="582" t="str">
        <f t="shared" si="12"/>
        <v/>
      </c>
      <c r="AX25" s="596"/>
      <c r="AY25" s="582" t="str">
        <f t="shared" si="13"/>
        <v/>
      </c>
      <c r="AZ25" s="596"/>
      <c r="BA25" s="582" t="str">
        <f t="shared" si="14"/>
        <v/>
      </c>
      <c r="BB25" s="791"/>
    </row>
    <row r="26" spans="1:54" ht="22.15" customHeight="1">
      <c r="A26" s="198">
        <v>19</v>
      </c>
      <c r="B26" s="710"/>
      <c r="C26" s="376"/>
      <c r="D26" s="374"/>
      <c r="E26" s="380" t="str">
        <f t="shared" si="23"/>
        <v/>
      </c>
      <c r="F26" s="374"/>
      <c r="G26" s="380" t="str">
        <f t="shared" si="15"/>
        <v/>
      </c>
      <c r="H26" s="374"/>
      <c r="I26" s="380" t="str">
        <f t="shared" si="16"/>
        <v/>
      </c>
      <c r="J26" s="374"/>
      <c r="K26" s="380" t="str">
        <f t="shared" si="17"/>
        <v/>
      </c>
      <c r="L26" s="374"/>
      <c r="M26" s="380" t="str">
        <f t="shared" si="18"/>
        <v/>
      </c>
      <c r="N26" s="374"/>
      <c r="O26" s="380" t="str">
        <f t="shared" si="19"/>
        <v/>
      </c>
      <c r="P26" s="374"/>
      <c r="Q26" s="380" t="str">
        <f t="shared" si="20"/>
        <v/>
      </c>
      <c r="R26" s="374"/>
      <c r="S26" s="380" t="str">
        <f t="shared" si="21"/>
        <v/>
      </c>
      <c r="T26" s="374"/>
      <c r="U26" s="380" t="str">
        <f t="shared" si="0"/>
        <v/>
      </c>
      <c r="V26" s="374"/>
      <c r="W26" s="380" t="str">
        <f t="shared" si="1"/>
        <v/>
      </c>
      <c r="X26" s="374"/>
      <c r="Y26" s="380" t="str">
        <f t="shared" si="2"/>
        <v/>
      </c>
      <c r="Z26" s="374"/>
      <c r="AA26" s="381" t="str">
        <f t="shared" si="3"/>
        <v/>
      </c>
      <c r="AB26" s="594"/>
      <c r="AC26" s="582" t="str">
        <f t="shared" si="22"/>
        <v/>
      </c>
      <c r="AD26" s="374"/>
      <c r="AE26" s="582" t="str">
        <f t="shared" si="22"/>
        <v/>
      </c>
      <c r="AF26" s="374"/>
      <c r="AG26" s="582" t="str">
        <f t="shared" si="4"/>
        <v/>
      </c>
      <c r="AH26" s="374"/>
      <c r="AI26" s="582" t="str">
        <f t="shared" si="5"/>
        <v/>
      </c>
      <c r="AJ26" s="596"/>
      <c r="AK26" s="582" t="str">
        <f t="shared" si="6"/>
        <v/>
      </c>
      <c r="AL26" s="596"/>
      <c r="AM26" s="582" t="str">
        <f t="shared" si="7"/>
        <v/>
      </c>
      <c r="AN26" s="596"/>
      <c r="AO26" s="582" t="str">
        <f t="shared" si="8"/>
        <v/>
      </c>
      <c r="AP26" s="596"/>
      <c r="AQ26" s="582" t="str">
        <f t="shared" si="9"/>
        <v/>
      </c>
      <c r="AR26" s="596"/>
      <c r="AS26" s="582" t="str">
        <f t="shared" si="10"/>
        <v/>
      </c>
      <c r="AT26" s="596"/>
      <c r="AU26" s="582" t="str">
        <f t="shared" si="11"/>
        <v/>
      </c>
      <c r="AV26" s="596"/>
      <c r="AW26" s="582" t="str">
        <f t="shared" si="12"/>
        <v/>
      </c>
      <c r="AX26" s="596"/>
      <c r="AY26" s="582" t="str">
        <f t="shared" si="13"/>
        <v/>
      </c>
      <c r="AZ26" s="596"/>
      <c r="BA26" s="582" t="str">
        <f t="shared" si="14"/>
        <v/>
      </c>
      <c r="BB26" s="791"/>
    </row>
    <row r="27" spans="1:54" ht="22.15" customHeight="1">
      <c r="A27" s="198">
        <v>20</v>
      </c>
      <c r="B27" s="710"/>
      <c r="C27" s="376"/>
      <c r="D27" s="374"/>
      <c r="E27" s="380" t="str">
        <f t="shared" si="23"/>
        <v/>
      </c>
      <c r="F27" s="374"/>
      <c r="G27" s="380" t="str">
        <f t="shared" si="15"/>
        <v/>
      </c>
      <c r="H27" s="374"/>
      <c r="I27" s="380" t="str">
        <f t="shared" si="16"/>
        <v/>
      </c>
      <c r="J27" s="374"/>
      <c r="K27" s="380" t="str">
        <f t="shared" si="17"/>
        <v/>
      </c>
      <c r="L27" s="374"/>
      <c r="M27" s="380" t="str">
        <f t="shared" si="18"/>
        <v/>
      </c>
      <c r="N27" s="374"/>
      <c r="O27" s="380" t="str">
        <f t="shared" si="19"/>
        <v/>
      </c>
      <c r="P27" s="374"/>
      <c r="Q27" s="380" t="str">
        <f t="shared" si="20"/>
        <v/>
      </c>
      <c r="R27" s="374"/>
      <c r="S27" s="380" t="str">
        <f t="shared" si="21"/>
        <v/>
      </c>
      <c r="T27" s="374"/>
      <c r="U27" s="380" t="str">
        <f t="shared" si="0"/>
        <v/>
      </c>
      <c r="V27" s="374"/>
      <c r="W27" s="380" t="str">
        <f t="shared" si="1"/>
        <v/>
      </c>
      <c r="X27" s="374"/>
      <c r="Y27" s="380" t="str">
        <f t="shared" si="2"/>
        <v/>
      </c>
      <c r="Z27" s="374"/>
      <c r="AA27" s="380" t="str">
        <f t="shared" si="3"/>
        <v/>
      </c>
      <c r="AB27" s="594"/>
      <c r="AC27" s="582" t="str">
        <f t="shared" si="22"/>
        <v/>
      </c>
      <c r="AD27" s="374"/>
      <c r="AE27" s="582" t="str">
        <f t="shared" si="22"/>
        <v/>
      </c>
      <c r="AF27" s="374"/>
      <c r="AG27" s="582" t="str">
        <f t="shared" si="4"/>
        <v/>
      </c>
      <c r="AH27" s="374"/>
      <c r="AI27" s="582" t="str">
        <f t="shared" si="5"/>
        <v/>
      </c>
      <c r="AJ27" s="596"/>
      <c r="AK27" s="582" t="str">
        <f t="shared" si="6"/>
        <v/>
      </c>
      <c r="AL27" s="596"/>
      <c r="AM27" s="582" t="str">
        <f t="shared" si="7"/>
        <v/>
      </c>
      <c r="AN27" s="596"/>
      <c r="AO27" s="582" t="str">
        <f t="shared" si="8"/>
        <v/>
      </c>
      <c r="AP27" s="596"/>
      <c r="AQ27" s="582" t="str">
        <f t="shared" si="9"/>
        <v/>
      </c>
      <c r="AR27" s="596"/>
      <c r="AS27" s="582" t="str">
        <f t="shared" si="10"/>
        <v/>
      </c>
      <c r="AT27" s="596"/>
      <c r="AU27" s="582" t="str">
        <f t="shared" si="11"/>
        <v/>
      </c>
      <c r="AV27" s="596"/>
      <c r="AW27" s="582" t="str">
        <f t="shared" si="12"/>
        <v/>
      </c>
      <c r="AX27" s="596"/>
      <c r="AY27" s="582" t="str">
        <f t="shared" si="13"/>
        <v/>
      </c>
      <c r="AZ27" s="596"/>
      <c r="BA27" s="582" t="str">
        <f t="shared" si="14"/>
        <v/>
      </c>
      <c r="BB27" s="791"/>
    </row>
    <row r="28" spans="1:54" ht="22.15" customHeight="1">
      <c r="A28" s="198">
        <v>21</v>
      </c>
      <c r="B28" s="710"/>
      <c r="C28" s="376"/>
      <c r="D28" s="374"/>
      <c r="E28" s="380" t="str">
        <f t="shared" si="23"/>
        <v/>
      </c>
      <c r="F28" s="374"/>
      <c r="G28" s="380" t="str">
        <f t="shared" si="15"/>
        <v/>
      </c>
      <c r="H28" s="374"/>
      <c r="I28" s="380" t="str">
        <f t="shared" si="16"/>
        <v/>
      </c>
      <c r="J28" s="374"/>
      <c r="K28" s="380" t="str">
        <f t="shared" si="17"/>
        <v/>
      </c>
      <c r="L28" s="374"/>
      <c r="M28" s="380" t="str">
        <f t="shared" si="18"/>
        <v/>
      </c>
      <c r="N28" s="374"/>
      <c r="O28" s="380" t="str">
        <f t="shared" si="19"/>
        <v/>
      </c>
      <c r="P28" s="374"/>
      <c r="Q28" s="380" t="str">
        <f t="shared" si="20"/>
        <v/>
      </c>
      <c r="R28" s="374"/>
      <c r="S28" s="380" t="str">
        <f t="shared" si="21"/>
        <v/>
      </c>
      <c r="T28" s="374"/>
      <c r="U28" s="380" t="str">
        <f t="shared" si="0"/>
        <v/>
      </c>
      <c r="V28" s="374"/>
      <c r="W28" s="380" t="str">
        <f t="shared" si="1"/>
        <v/>
      </c>
      <c r="X28" s="374"/>
      <c r="Y28" s="380" t="str">
        <f t="shared" si="2"/>
        <v/>
      </c>
      <c r="Z28" s="374"/>
      <c r="AA28" s="380" t="str">
        <f t="shared" si="3"/>
        <v/>
      </c>
      <c r="AB28" s="594"/>
      <c r="AC28" s="582" t="str">
        <f t="shared" si="22"/>
        <v/>
      </c>
      <c r="AD28" s="374"/>
      <c r="AE28" s="582" t="str">
        <f t="shared" si="22"/>
        <v/>
      </c>
      <c r="AF28" s="374"/>
      <c r="AG28" s="582" t="str">
        <f t="shared" si="4"/>
        <v/>
      </c>
      <c r="AH28" s="374"/>
      <c r="AI28" s="582" t="str">
        <f t="shared" si="5"/>
        <v/>
      </c>
      <c r="AJ28" s="596"/>
      <c r="AK28" s="582" t="str">
        <f t="shared" si="6"/>
        <v/>
      </c>
      <c r="AL28" s="596"/>
      <c r="AM28" s="582" t="str">
        <f t="shared" si="7"/>
        <v/>
      </c>
      <c r="AN28" s="596"/>
      <c r="AO28" s="582" t="str">
        <f t="shared" si="8"/>
        <v/>
      </c>
      <c r="AP28" s="596"/>
      <c r="AQ28" s="582" t="str">
        <f t="shared" si="9"/>
        <v/>
      </c>
      <c r="AR28" s="596"/>
      <c r="AS28" s="582" t="str">
        <f t="shared" si="10"/>
        <v/>
      </c>
      <c r="AT28" s="596"/>
      <c r="AU28" s="582" t="str">
        <f t="shared" si="11"/>
        <v/>
      </c>
      <c r="AV28" s="596"/>
      <c r="AW28" s="582" t="str">
        <f t="shared" si="12"/>
        <v/>
      </c>
      <c r="AX28" s="596"/>
      <c r="AY28" s="582" t="str">
        <f t="shared" si="13"/>
        <v/>
      </c>
      <c r="AZ28" s="596"/>
      <c r="BA28" s="582" t="str">
        <f t="shared" si="14"/>
        <v/>
      </c>
      <c r="BB28" s="791"/>
    </row>
    <row r="29" spans="1:54" ht="22.15" customHeight="1">
      <c r="A29" s="198">
        <v>22</v>
      </c>
      <c r="B29" s="710"/>
      <c r="C29" s="376"/>
      <c r="D29" s="374"/>
      <c r="E29" s="380" t="str">
        <f t="shared" si="23"/>
        <v/>
      </c>
      <c r="F29" s="374"/>
      <c r="G29" s="380" t="str">
        <f t="shared" si="15"/>
        <v/>
      </c>
      <c r="H29" s="374"/>
      <c r="I29" s="380" t="str">
        <f t="shared" si="16"/>
        <v/>
      </c>
      <c r="J29" s="374"/>
      <c r="K29" s="380" t="str">
        <f t="shared" si="17"/>
        <v/>
      </c>
      <c r="L29" s="374"/>
      <c r="M29" s="380" t="str">
        <f t="shared" si="18"/>
        <v/>
      </c>
      <c r="N29" s="374"/>
      <c r="O29" s="380" t="str">
        <f t="shared" si="19"/>
        <v/>
      </c>
      <c r="P29" s="374"/>
      <c r="Q29" s="380" t="str">
        <f t="shared" si="20"/>
        <v/>
      </c>
      <c r="R29" s="374"/>
      <c r="S29" s="380" t="str">
        <f t="shared" si="21"/>
        <v/>
      </c>
      <c r="T29" s="374"/>
      <c r="U29" s="380" t="str">
        <f t="shared" si="0"/>
        <v/>
      </c>
      <c r="V29" s="374"/>
      <c r="W29" s="380" t="str">
        <f t="shared" si="1"/>
        <v/>
      </c>
      <c r="X29" s="374"/>
      <c r="Y29" s="380" t="str">
        <f t="shared" si="2"/>
        <v/>
      </c>
      <c r="Z29" s="374"/>
      <c r="AA29" s="380" t="str">
        <f t="shared" si="3"/>
        <v/>
      </c>
      <c r="AB29" s="594"/>
      <c r="AC29" s="582" t="str">
        <f t="shared" si="22"/>
        <v/>
      </c>
      <c r="AD29" s="374"/>
      <c r="AE29" s="582" t="str">
        <f t="shared" si="22"/>
        <v/>
      </c>
      <c r="AF29" s="374"/>
      <c r="AG29" s="582" t="str">
        <f t="shared" si="4"/>
        <v/>
      </c>
      <c r="AH29" s="374"/>
      <c r="AI29" s="582" t="str">
        <f t="shared" si="5"/>
        <v/>
      </c>
      <c r="AJ29" s="596"/>
      <c r="AK29" s="582" t="str">
        <f t="shared" si="6"/>
        <v/>
      </c>
      <c r="AL29" s="596"/>
      <c r="AM29" s="582" t="str">
        <f t="shared" si="7"/>
        <v/>
      </c>
      <c r="AN29" s="596"/>
      <c r="AO29" s="582" t="str">
        <f t="shared" si="8"/>
        <v/>
      </c>
      <c r="AP29" s="596"/>
      <c r="AQ29" s="582" t="str">
        <f t="shared" si="9"/>
        <v/>
      </c>
      <c r="AR29" s="596"/>
      <c r="AS29" s="582" t="str">
        <f t="shared" si="10"/>
        <v/>
      </c>
      <c r="AT29" s="596"/>
      <c r="AU29" s="582" t="str">
        <f t="shared" si="11"/>
        <v/>
      </c>
      <c r="AV29" s="596"/>
      <c r="AW29" s="582" t="str">
        <f t="shared" si="12"/>
        <v/>
      </c>
      <c r="AX29" s="596"/>
      <c r="AY29" s="582" t="str">
        <f t="shared" si="13"/>
        <v/>
      </c>
      <c r="AZ29" s="596"/>
      <c r="BA29" s="582" t="str">
        <f t="shared" si="14"/>
        <v/>
      </c>
      <c r="BB29" s="791"/>
    </row>
    <row r="30" spans="1:54" ht="22.15" customHeight="1">
      <c r="A30" s="198">
        <v>23</v>
      </c>
      <c r="B30" s="710"/>
      <c r="C30" s="376"/>
      <c r="D30" s="374"/>
      <c r="E30" s="380" t="str">
        <f t="shared" si="23"/>
        <v/>
      </c>
      <c r="F30" s="374"/>
      <c r="G30" s="380" t="str">
        <f t="shared" si="15"/>
        <v/>
      </c>
      <c r="H30" s="374"/>
      <c r="I30" s="380" t="str">
        <f t="shared" si="16"/>
        <v/>
      </c>
      <c r="J30" s="374"/>
      <c r="K30" s="380" t="str">
        <f t="shared" si="17"/>
        <v/>
      </c>
      <c r="L30" s="374"/>
      <c r="M30" s="380" t="str">
        <f t="shared" si="18"/>
        <v/>
      </c>
      <c r="N30" s="374"/>
      <c r="O30" s="380" t="str">
        <f t="shared" si="19"/>
        <v/>
      </c>
      <c r="P30" s="374"/>
      <c r="Q30" s="380" t="str">
        <f t="shared" si="20"/>
        <v/>
      </c>
      <c r="R30" s="374"/>
      <c r="S30" s="380" t="str">
        <f t="shared" si="21"/>
        <v/>
      </c>
      <c r="T30" s="374"/>
      <c r="U30" s="380" t="str">
        <f t="shared" si="0"/>
        <v/>
      </c>
      <c r="V30" s="374"/>
      <c r="W30" s="380" t="str">
        <f t="shared" si="1"/>
        <v/>
      </c>
      <c r="X30" s="374"/>
      <c r="Y30" s="380" t="str">
        <f t="shared" si="2"/>
        <v/>
      </c>
      <c r="Z30" s="374"/>
      <c r="AA30" s="380" t="str">
        <f t="shared" si="3"/>
        <v/>
      </c>
      <c r="AB30" s="594"/>
      <c r="AC30" s="582" t="str">
        <f t="shared" si="22"/>
        <v/>
      </c>
      <c r="AD30" s="374"/>
      <c r="AE30" s="582" t="str">
        <f t="shared" si="22"/>
        <v/>
      </c>
      <c r="AF30" s="374"/>
      <c r="AG30" s="582" t="str">
        <f t="shared" si="4"/>
        <v/>
      </c>
      <c r="AH30" s="374"/>
      <c r="AI30" s="582" t="str">
        <f t="shared" si="5"/>
        <v/>
      </c>
      <c r="AJ30" s="596"/>
      <c r="AK30" s="582" t="str">
        <f t="shared" si="6"/>
        <v/>
      </c>
      <c r="AL30" s="596"/>
      <c r="AM30" s="582" t="str">
        <f t="shared" si="7"/>
        <v/>
      </c>
      <c r="AN30" s="596"/>
      <c r="AO30" s="582" t="str">
        <f t="shared" si="8"/>
        <v/>
      </c>
      <c r="AP30" s="596"/>
      <c r="AQ30" s="582" t="str">
        <f t="shared" si="9"/>
        <v/>
      </c>
      <c r="AR30" s="596"/>
      <c r="AS30" s="582" t="str">
        <f t="shared" si="10"/>
        <v/>
      </c>
      <c r="AT30" s="596"/>
      <c r="AU30" s="582" t="str">
        <f t="shared" si="11"/>
        <v/>
      </c>
      <c r="AV30" s="596"/>
      <c r="AW30" s="582" t="str">
        <f t="shared" si="12"/>
        <v/>
      </c>
      <c r="AX30" s="596"/>
      <c r="AY30" s="582" t="str">
        <f t="shared" si="13"/>
        <v/>
      </c>
      <c r="AZ30" s="596"/>
      <c r="BA30" s="582" t="str">
        <f t="shared" si="14"/>
        <v/>
      </c>
      <c r="BB30" s="791"/>
    </row>
    <row r="31" spans="1:54" ht="22.15" customHeight="1">
      <c r="A31" s="198">
        <v>24</v>
      </c>
      <c r="B31" s="710"/>
      <c r="C31" s="376"/>
      <c r="D31" s="374"/>
      <c r="E31" s="380" t="str">
        <f t="shared" si="23"/>
        <v/>
      </c>
      <c r="F31" s="374"/>
      <c r="G31" s="381" t="str">
        <f t="shared" si="15"/>
        <v/>
      </c>
      <c r="H31" s="374"/>
      <c r="I31" s="380" t="str">
        <f t="shared" si="16"/>
        <v/>
      </c>
      <c r="J31" s="374"/>
      <c r="K31" s="381" t="str">
        <f t="shared" si="17"/>
        <v/>
      </c>
      <c r="L31" s="374"/>
      <c r="M31" s="380" t="str">
        <f t="shared" si="18"/>
        <v/>
      </c>
      <c r="N31" s="374"/>
      <c r="O31" s="380" t="str">
        <f t="shared" si="19"/>
        <v/>
      </c>
      <c r="P31" s="374"/>
      <c r="Q31" s="380" t="str">
        <f t="shared" si="20"/>
        <v/>
      </c>
      <c r="R31" s="374"/>
      <c r="S31" s="380" t="str">
        <f t="shared" si="21"/>
        <v/>
      </c>
      <c r="T31" s="374"/>
      <c r="U31" s="380" t="str">
        <f t="shared" si="0"/>
        <v/>
      </c>
      <c r="V31" s="374"/>
      <c r="W31" s="380" t="str">
        <f t="shared" si="1"/>
        <v/>
      </c>
      <c r="X31" s="374"/>
      <c r="Y31" s="380" t="str">
        <f t="shared" si="2"/>
        <v/>
      </c>
      <c r="Z31" s="374"/>
      <c r="AA31" s="380" t="str">
        <f t="shared" si="3"/>
        <v/>
      </c>
      <c r="AB31" s="594"/>
      <c r="AC31" s="582" t="str">
        <f t="shared" si="22"/>
        <v/>
      </c>
      <c r="AD31" s="374"/>
      <c r="AE31" s="582" t="str">
        <f t="shared" si="22"/>
        <v/>
      </c>
      <c r="AF31" s="374"/>
      <c r="AG31" s="582" t="str">
        <f t="shared" si="4"/>
        <v/>
      </c>
      <c r="AH31" s="374"/>
      <c r="AI31" s="582" t="str">
        <f t="shared" si="5"/>
        <v/>
      </c>
      <c r="AJ31" s="596"/>
      <c r="AK31" s="582" t="str">
        <f t="shared" si="6"/>
        <v/>
      </c>
      <c r="AL31" s="596"/>
      <c r="AM31" s="582" t="str">
        <f t="shared" si="7"/>
        <v/>
      </c>
      <c r="AN31" s="596"/>
      <c r="AO31" s="582" t="str">
        <f t="shared" si="8"/>
        <v/>
      </c>
      <c r="AP31" s="596"/>
      <c r="AQ31" s="582" t="str">
        <f t="shared" si="9"/>
        <v/>
      </c>
      <c r="AR31" s="596"/>
      <c r="AS31" s="582" t="str">
        <f t="shared" si="10"/>
        <v/>
      </c>
      <c r="AT31" s="596"/>
      <c r="AU31" s="582" t="str">
        <f t="shared" si="11"/>
        <v/>
      </c>
      <c r="AV31" s="596"/>
      <c r="AW31" s="582" t="str">
        <f t="shared" si="12"/>
        <v/>
      </c>
      <c r="AX31" s="596"/>
      <c r="AY31" s="582" t="str">
        <f t="shared" si="13"/>
        <v/>
      </c>
      <c r="AZ31" s="596"/>
      <c r="BA31" s="582" t="str">
        <f t="shared" si="14"/>
        <v/>
      </c>
      <c r="BB31" s="791"/>
    </row>
    <row r="32" spans="1:54" ht="22.15" customHeight="1">
      <c r="A32" s="198">
        <v>25</v>
      </c>
      <c r="B32" s="710"/>
      <c r="C32" s="376"/>
      <c r="D32" s="374"/>
      <c r="E32" s="380" t="str">
        <f t="shared" si="23"/>
        <v/>
      </c>
      <c r="F32" s="374"/>
      <c r="G32" s="380" t="str">
        <f t="shared" si="15"/>
        <v/>
      </c>
      <c r="H32" s="374"/>
      <c r="I32" s="380" t="str">
        <f t="shared" si="16"/>
        <v/>
      </c>
      <c r="J32" s="374"/>
      <c r="K32" s="380" t="str">
        <f t="shared" si="17"/>
        <v/>
      </c>
      <c r="L32" s="374"/>
      <c r="M32" s="380" t="str">
        <f t="shared" si="18"/>
        <v/>
      </c>
      <c r="N32" s="374"/>
      <c r="O32" s="381" t="str">
        <f t="shared" si="19"/>
        <v/>
      </c>
      <c r="P32" s="374"/>
      <c r="Q32" s="380" t="str">
        <f t="shared" si="20"/>
        <v/>
      </c>
      <c r="R32" s="374"/>
      <c r="S32" s="380" t="str">
        <f t="shared" si="21"/>
        <v/>
      </c>
      <c r="T32" s="374"/>
      <c r="U32" s="380" t="str">
        <f t="shared" si="0"/>
        <v/>
      </c>
      <c r="V32" s="374"/>
      <c r="W32" s="380" t="str">
        <f t="shared" si="1"/>
        <v/>
      </c>
      <c r="X32" s="374"/>
      <c r="Y32" s="380" t="str">
        <f t="shared" si="2"/>
        <v/>
      </c>
      <c r="Z32" s="374"/>
      <c r="AA32" s="380" t="str">
        <f t="shared" si="3"/>
        <v/>
      </c>
      <c r="AB32" s="594"/>
      <c r="AC32" s="582" t="str">
        <f t="shared" si="22"/>
        <v/>
      </c>
      <c r="AD32" s="374"/>
      <c r="AE32" s="582" t="str">
        <f t="shared" si="22"/>
        <v/>
      </c>
      <c r="AF32" s="374"/>
      <c r="AG32" s="582" t="str">
        <f t="shared" si="4"/>
        <v/>
      </c>
      <c r="AH32" s="374"/>
      <c r="AI32" s="582" t="str">
        <f t="shared" si="5"/>
        <v/>
      </c>
      <c r="AJ32" s="596"/>
      <c r="AK32" s="582" t="str">
        <f t="shared" si="6"/>
        <v/>
      </c>
      <c r="AL32" s="596"/>
      <c r="AM32" s="582" t="str">
        <f t="shared" si="7"/>
        <v/>
      </c>
      <c r="AN32" s="596"/>
      <c r="AO32" s="582" t="str">
        <f t="shared" si="8"/>
        <v/>
      </c>
      <c r="AP32" s="596"/>
      <c r="AQ32" s="582" t="str">
        <f t="shared" si="9"/>
        <v/>
      </c>
      <c r="AR32" s="596"/>
      <c r="AS32" s="582" t="str">
        <f t="shared" si="10"/>
        <v/>
      </c>
      <c r="AT32" s="596"/>
      <c r="AU32" s="582" t="str">
        <f t="shared" si="11"/>
        <v/>
      </c>
      <c r="AV32" s="596"/>
      <c r="AW32" s="582" t="str">
        <f t="shared" si="12"/>
        <v/>
      </c>
      <c r="AX32" s="596"/>
      <c r="AY32" s="582" t="str">
        <f t="shared" si="13"/>
        <v/>
      </c>
      <c r="AZ32" s="596"/>
      <c r="BA32" s="582" t="str">
        <f t="shared" si="14"/>
        <v/>
      </c>
      <c r="BB32" s="791"/>
    </row>
    <row r="33" spans="1:54" ht="22.15" customHeight="1">
      <c r="A33" s="198">
        <v>26</v>
      </c>
      <c r="B33" s="710"/>
      <c r="C33" s="376"/>
      <c r="D33" s="374"/>
      <c r="E33" s="380" t="str">
        <f t="shared" si="23"/>
        <v/>
      </c>
      <c r="F33" s="374"/>
      <c r="G33" s="380" t="str">
        <f t="shared" si="15"/>
        <v/>
      </c>
      <c r="H33" s="374"/>
      <c r="I33" s="380" t="str">
        <f t="shared" si="16"/>
        <v/>
      </c>
      <c r="J33" s="374"/>
      <c r="K33" s="380" t="str">
        <f t="shared" si="17"/>
        <v/>
      </c>
      <c r="L33" s="374"/>
      <c r="M33" s="380" t="str">
        <f t="shared" si="18"/>
        <v/>
      </c>
      <c r="N33" s="374"/>
      <c r="O33" s="380" t="str">
        <f t="shared" si="19"/>
        <v/>
      </c>
      <c r="P33" s="374"/>
      <c r="Q33" s="380" t="str">
        <f t="shared" si="20"/>
        <v/>
      </c>
      <c r="R33" s="374"/>
      <c r="S33" s="380" t="str">
        <f t="shared" si="21"/>
        <v/>
      </c>
      <c r="T33" s="374"/>
      <c r="U33" s="380" t="str">
        <f t="shared" si="0"/>
        <v/>
      </c>
      <c r="V33" s="374"/>
      <c r="W33" s="380" t="str">
        <f t="shared" si="1"/>
        <v/>
      </c>
      <c r="X33" s="374"/>
      <c r="Y33" s="380" t="str">
        <f t="shared" si="2"/>
        <v/>
      </c>
      <c r="Z33" s="374"/>
      <c r="AA33" s="380" t="str">
        <f t="shared" si="3"/>
        <v/>
      </c>
      <c r="AB33" s="594"/>
      <c r="AC33" s="582" t="str">
        <f t="shared" si="22"/>
        <v/>
      </c>
      <c r="AD33" s="374"/>
      <c r="AE33" s="582" t="str">
        <f t="shared" si="22"/>
        <v/>
      </c>
      <c r="AF33" s="374"/>
      <c r="AG33" s="582" t="str">
        <f t="shared" si="4"/>
        <v/>
      </c>
      <c r="AH33" s="374"/>
      <c r="AI33" s="582" t="str">
        <f t="shared" si="5"/>
        <v/>
      </c>
      <c r="AJ33" s="596"/>
      <c r="AK33" s="582" t="str">
        <f t="shared" si="6"/>
        <v/>
      </c>
      <c r="AL33" s="596"/>
      <c r="AM33" s="582" t="str">
        <f t="shared" si="7"/>
        <v/>
      </c>
      <c r="AN33" s="596"/>
      <c r="AO33" s="582" t="str">
        <f t="shared" si="8"/>
        <v/>
      </c>
      <c r="AP33" s="596"/>
      <c r="AQ33" s="582" t="str">
        <f t="shared" si="9"/>
        <v/>
      </c>
      <c r="AR33" s="596"/>
      <c r="AS33" s="582" t="str">
        <f t="shared" si="10"/>
        <v/>
      </c>
      <c r="AT33" s="596"/>
      <c r="AU33" s="582" t="str">
        <f t="shared" si="11"/>
        <v/>
      </c>
      <c r="AV33" s="596"/>
      <c r="AW33" s="582" t="str">
        <f t="shared" si="12"/>
        <v/>
      </c>
      <c r="AX33" s="596"/>
      <c r="AY33" s="582" t="str">
        <f t="shared" si="13"/>
        <v/>
      </c>
      <c r="AZ33" s="596"/>
      <c r="BA33" s="582" t="str">
        <f t="shared" si="14"/>
        <v/>
      </c>
      <c r="BB33" s="791"/>
    </row>
    <row r="34" spans="1:54" ht="22.15" customHeight="1">
      <c r="A34" s="198">
        <v>27</v>
      </c>
      <c r="B34" s="710"/>
      <c r="C34" s="376"/>
      <c r="D34" s="374"/>
      <c r="E34" s="380" t="str">
        <f t="shared" si="23"/>
        <v/>
      </c>
      <c r="F34" s="374"/>
      <c r="G34" s="380" t="str">
        <f t="shared" si="15"/>
        <v/>
      </c>
      <c r="H34" s="374"/>
      <c r="I34" s="380" t="str">
        <f t="shared" si="16"/>
        <v/>
      </c>
      <c r="J34" s="374"/>
      <c r="K34" s="380" t="str">
        <f t="shared" si="17"/>
        <v/>
      </c>
      <c r="L34" s="374"/>
      <c r="M34" s="380" t="str">
        <f t="shared" si="18"/>
        <v/>
      </c>
      <c r="N34" s="374"/>
      <c r="O34" s="380" t="str">
        <f t="shared" si="19"/>
        <v/>
      </c>
      <c r="P34" s="374"/>
      <c r="Q34" s="380" t="str">
        <f t="shared" si="20"/>
        <v/>
      </c>
      <c r="R34" s="374"/>
      <c r="S34" s="380" t="str">
        <f t="shared" si="21"/>
        <v/>
      </c>
      <c r="T34" s="374"/>
      <c r="U34" s="380" t="str">
        <f t="shared" si="0"/>
        <v/>
      </c>
      <c r="V34" s="374"/>
      <c r="W34" s="380" t="str">
        <f t="shared" si="1"/>
        <v/>
      </c>
      <c r="X34" s="374"/>
      <c r="Y34" s="380" t="str">
        <f t="shared" si="2"/>
        <v/>
      </c>
      <c r="Z34" s="374"/>
      <c r="AA34" s="380" t="str">
        <f t="shared" si="3"/>
        <v/>
      </c>
      <c r="AB34" s="594"/>
      <c r="AC34" s="582" t="str">
        <f t="shared" si="22"/>
        <v/>
      </c>
      <c r="AD34" s="374"/>
      <c r="AE34" s="582" t="str">
        <f t="shared" si="22"/>
        <v/>
      </c>
      <c r="AF34" s="374"/>
      <c r="AG34" s="582" t="str">
        <f t="shared" si="4"/>
        <v/>
      </c>
      <c r="AH34" s="374"/>
      <c r="AI34" s="582" t="str">
        <f t="shared" si="5"/>
        <v/>
      </c>
      <c r="AJ34" s="596"/>
      <c r="AK34" s="582" t="str">
        <f t="shared" si="6"/>
        <v/>
      </c>
      <c r="AL34" s="596"/>
      <c r="AM34" s="582" t="str">
        <f t="shared" si="7"/>
        <v/>
      </c>
      <c r="AN34" s="596"/>
      <c r="AO34" s="582" t="str">
        <f t="shared" si="8"/>
        <v/>
      </c>
      <c r="AP34" s="596"/>
      <c r="AQ34" s="582" t="str">
        <f t="shared" si="9"/>
        <v/>
      </c>
      <c r="AR34" s="596"/>
      <c r="AS34" s="582" t="str">
        <f t="shared" si="10"/>
        <v/>
      </c>
      <c r="AT34" s="596"/>
      <c r="AU34" s="582" t="str">
        <f t="shared" si="11"/>
        <v/>
      </c>
      <c r="AV34" s="596"/>
      <c r="AW34" s="582" t="str">
        <f t="shared" si="12"/>
        <v/>
      </c>
      <c r="AX34" s="596"/>
      <c r="AY34" s="582" t="str">
        <f t="shared" si="13"/>
        <v/>
      </c>
      <c r="AZ34" s="596"/>
      <c r="BA34" s="582" t="str">
        <f t="shared" si="14"/>
        <v/>
      </c>
      <c r="BB34" s="791"/>
    </row>
    <row r="35" spans="1:54" ht="22.15" customHeight="1">
      <c r="A35" s="198">
        <v>28</v>
      </c>
      <c r="B35" s="710"/>
      <c r="C35" s="376"/>
      <c r="D35" s="374"/>
      <c r="E35" s="380" t="str">
        <f t="shared" si="23"/>
        <v/>
      </c>
      <c r="F35" s="374"/>
      <c r="G35" s="380" t="str">
        <f t="shared" si="15"/>
        <v/>
      </c>
      <c r="H35" s="374"/>
      <c r="I35" s="380" t="str">
        <f t="shared" si="16"/>
        <v/>
      </c>
      <c r="J35" s="374"/>
      <c r="K35" s="380" t="str">
        <f t="shared" si="17"/>
        <v/>
      </c>
      <c r="L35" s="374"/>
      <c r="M35" s="380" t="str">
        <f t="shared" si="18"/>
        <v/>
      </c>
      <c r="N35" s="374"/>
      <c r="O35" s="380" t="str">
        <f t="shared" si="19"/>
        <v/>
      </c>
      <c r="P35" s="374"/>
      <c r="Q35" s="380" t="str">
        <f t="shared" si="20"/>
        <v/>
      </c>
      <c r="R35" s="374"/>
      <c r="S35" s="380" t="str">
        <f t="shared" si="21"/>
        <v/>
      </c>
      <c r="T35" s="374"/>
      <c r="U35" s="380" t="str">
        <f t="shared" si="0"/>
        <v/>
      </c>
      <c r="V35" s="374"/>
      <c r="W35" s="380" t="str">
        <f t="shared" si="1"/>
        <v/>
      </c>
      <c r="X35" s="374"/>
      <c r="Y35" s="380" t="str">
        <f t="shared" si="2"/>
        <v/>
      </c>
      <c r="Z35" s="374"/>
      <c r="AA35" s="380" t="str">
        <f t="shared" si="3"/>
        <v/>
      </c>
      <c r="AB35" s="594"/>
      <c r="AC35" s="582" t="str">
        <f t="shared" si="22"/>
        <v/>
      </c>
      <c r="AD35" s="374"/>
      <c r="AE35" s="582" t="str">
        <f t="shared" si="22"/>
        <v/>
      </c>
      <c r="AF35" s="374"/>
      <c r="AG35" s="582" t="str">
        <f t="shared" si="4"/>
        <v/>
      </c>
      <c r="AH35" s="374"/>
      <c r="AI35" s="582" t="str">
        <f t="shared" si="5"/>
        <v/>
      </c>
      <c r="AJ35" s="596"/>
      <c r="AK35" s="582" t="str">
        <f t="shared" si="6"/>
        <v/>
      </c>
      <c r="AL35" s="596"/>
      <c r="AM35" s="582" t="str">
        <f t="shared" si="7"/>
        <v/>
      </c>
      <c r="AN35" s="596"/>
      <c r="AO35" s="582" t="str">
        <f t="shared" si="8"/>
        <v/>
      </c>
      <c r="AP35" s="596"/>
      <c r="AQ35" s="582" t="str">
        <f t="shared" si="9"/>
        <v/>
      </c>
      <c r="AR35" s="596"/>
      <c r="AS35" s="582" t="str">
        <f t="shared" si="10"/>
        <v/>
      </c>
      <c r="AT35" s="596"/>
      <c r="AU35" s="582" t="str">
        <f t="shared" si="11"/>
        <v/>
      </c>
      <c r="AV35" s="596"/>
      <c r="AW35" s="582" t="str">
        <f t="shared" si="12"/>
        <v/>
      </c>
      <c r="AX35" s="596"/>
      <c r="AY35" s="582" t="str">
        <f t="shared" si="13"/>
        <v/>
      </c>
      <c r="AZ35" s="596"/>
      <c r="BA35" s="582" t="str">
        <f t="shared" si="14"/>
        <v/>
      </c>
      <c r="BB35" s="791"/>
    </row>
    <row r="36" spans="1:54" ht="22.15" customHeight="1">
      <c r="A36" s="198">
        <v>29</v>
      </c>
      <c r="B36" s="1571"/>
      <c r="C36" s="376"/>
      <c r="D36" s="374"/>
      <c r="E36" s="380" t="str">
        <f t="shared" si="23"/>
        <v/>
      </c>
      <c r="F36" s="374"/>
      <c r="G36" s="380" t="str">
        <f t="shared" si="15"/>
        <v/>
      </c>
      <c r="H36" s="374"/>
      <c r="I36" s="380" t="str">
        <f t="shared" si="16"/>
        <v/>
      </c>
      <c r="J36" s="374"/>
      <c r="K36" s="380" t="str">
        <f t="shared" si="17"/>
        <v/>
      </c>
      <c r="L36" s="374"/>
      <c r="M36" s="380" t="str">
        <f t="shared" si="18"/>
        <v/>
      </c>
      <c r="N36" s="374"/>
      <c r="O36" s="380" t="str">
        <f t="shared" si="19"/>
        <v/>
      </c>
      <c r="P36" s="374"/>
      <c r="Q36" s="380" t="str">
        <f t="shared" si="20"/>
        <v/>
      </c>
      <c r="R36" s="374"/>
      <c r="S36" s="380" t="str">
        <f t="shared" si="21"/>
        <v/>
      </c>
      <c r="T36" s="374"/>
      <c r="U36" s="380" t="str">
        <f t="shared" si="0"/>
        <v/>
      </c>
      <c r="V36" s="374"/>
      <c r="W36" s="380" t="str">
        <f t="shared" si="1"/>
        <v/>
      </c>
      <c r="X36" s="374"/>
      <c r="Y36" s="380" t="str">
        <f t="shared" si="2"/>
        <v/>
      </c>
      <c r="Z36" s="374"/>
      <c r="AA36" s="380" t="str">
        <f t="shared" si="3"/>
        <v/>
      </c>
      <c r="AB36" s="594"/>
      <c r="AC36" s="582" t="str">
        <f t="shared" si="22"/>
        <v/>
      </c>
      <c r="AD36" s="374"/>
      <c r="AE36" s="582" t="str">
        <f t="shared" si="22"/>
        <v/>
      </c>
      <c r="AF36" s="374"/>
      <c r="AG36" s="582" t="str">
        <f t="shared" si="4"/>
        <v/>
      </c>
      <c r="AH36" s="374"/>
      <c r="AI36" s="582" t="str">
        <f t="shared" si="5"/>
        <v/>
      </c>
      <c r="AJ36" s="596"/>
      <c r="AK36" s="582" t="str">
        <f t="shared" si="6"/>
        <v/>
      </c>
      <c r="AL36" s="596"/>
      <c r="AM36" s="582" t="str">
        <f t="shared" si="7"/>
        <v/>
      </c>
      <c r="AN36" s="596"/>
      <c r="AO36" s="582" t="str">
        <f t="shared" si="8"/>
        <v/>
      </c>
      <c r="AP36" s="596"/>
      <c r="AQ36" s="582" t="str">
        <f t="shared" si="9"/>
        <v/>
      </c>
      <c r="AR36" s="596"/>
      <c r="AS36" s="582" t="str">
        <f t="shared" si="10"/>
        <v/>
      </c>
      <c r="AT36" s="596"/>
      <c r="AU36" s="582" t="str">
        <f t="shared" si="11"/>
        <v/>
      </c>
      <c r="AV36" s="596"/>
      <c r="AW36" s="582" t="str">
        <f t="shared" si="12"/>
        <v/>
      </c>
      <c r="AX36" s="596"/>
      <c r="AY36" s="582" t="str">
        <f t="shared" si="13"/>
        <v/>
      </c>
      <c r="AZ36" s="596"/>
      <c r="BA36" s="582" t="str">
        <f t="shared" si="14"/>
        <v/>
      </c>
      <c r="BB36" s="791"/>
    </row>
    <row r="37" spans="1:54" ht="22.15" customHeight="1">
      <c r="A37" s="198">
        <v>30</v>
      </c>
      <c r="B37" s="710"/>
      <c r="C37" s="376"/>
      <c r="D37" s="374"/>
      <c r="E37" s="380" t="str">
        <f t="shared" si="23"/>
        <v/>
      </c>
      <c r="F37" s="374"/>
      <c r="G37" s="380" t="str">
        <f t="shared" si="15"/>
        <v/>
      </c>
      <c r="H37" s="374"/>
      <c r="I37" s="380" t="str">
        <f t="shared" si="16"/>
        <v/>
      </c>
      <c r="J37" s="374"/>
      <c r="K37" s="380" t="str">
        <f t="shared" si="17"/>
        <v/>
      </c>
      <c r="L37" s="374"/>
      <c r="M37" s="380" t="str">
        <f t="shared" si="18"/>
        <v/>
      </c>
      <c r="N37" s="374"/>
      <c r="O37" s="380" t="str">
        <f t="shared" si="19"/>
        <v/>
      </c>
      <c r="P37" s="374"/>
      <c r="Q37" s="380" t="str">
        <f t="shared" si="20"/>
        <v/>
      </c>
      <c r="R37" s="374"/>
      <c r="S37" s="380" t="str">
        <f t="shared" si="21"/>
        <v/>
      </c>
      <c r="T37" s="374"/>
      <c r="U37" s="380" t="str">
        <f t="shared" si="0"/>
        <v/>
      </c>
      <c r="V37" s="374"/>
      <c r="W37" s="380" t="str">
        <f t="shared" si="1"/>
        <v/>
      </c>
      <c r="X37" s="374"/>
      <c r="Y37" s="380" t="str">
        <f t="shared" si="2"/>
        <v/>
      </c>
      <c r="Z37" s="374"/>
      <c r="AA37" s="380" t="str">
        <f t="shared" si="3"/>
        <v/>
      </c>
      <c r="AB37" s="594"/>
      <c r="AC37" s="582" t="str">
        <f t="shared" si="22"/>
        <v/>
      </c>
      <c r="AD37" s="374"/>
      <c r="AE37" s="582" t="str">
        <f t="shared" si="22"/>
        <v/>
      </c>
      <c r="AF37" s="374"/>
      <c r="AG37" s="582" t="str">
        <f t="shared" si="4"/>
        <v/>
      </c>
      <c r="AH37" s="374"/>
      <c r="AI37" s="582" t="str">
        <f t="shared" si="5"/>
        <v/>
      </c>
      <c r="AJ37" s="596"/>
      <c r="AK37" s="582" t="str">
        <f t="shared" si="6"/>
        <v/>
      </c>
      <c r="AL37" s="596"/>
      <c r="AM37" s="582" t="str">
        <f t="shared" si="7"/>
        <v/>
      </c>
      <c r="AN37" s="596"/>
      <c r="AO37" s="582" t="str">
        <f t="shared" si="8"/>
        <v/>
      </c>
      <c r="AP37" s="596"/>
      <c r="AQ37" s="582" t="str">
        <f t="shared" si="9"/>
        <v/>
      </c>
      <c r="AR37" s="596"/>
      <c r="AS37" s="582" t="str">
        <f t="shared" si="10"/>
        <v/>
      </c>
      <c r="AT37" s="596"/>
      <c r="AU37" s="582" t="str">
        <f t="shared" si="11"/>
        <v/>
      </c>
      <c r="AV37" s="596"/>
      <c r="AW37" s="582" t="str">
        <f t="shared" si="12"/>
        <v/>
      </c>
      <c r="AX37" s="596"/>
      <c r="AY37" s="582" t="str">
        <f t="shared" si="13"/>
        <v/>
      </c>
      <c r="AZ37" s="596"/>
      <c r="BA37" s="582" t="str">
        <f t="shared" si="14"/>
        <v/>
      </c>
      <c r="BB37" s="791"/>
    </row>
    <row r="38" spans="1:54" ht="22.15" customHeight="1" thickBot="1">
      <c r="A38" s="199">
        <v>31</v>
      </c>
      <c r="B38" s="1572"/>
      <c r="C38" s="378"/>
      <c r="D38" s="377"/>
      <c r="E38" s="382" t="str">
        <f t="shared" si="23"/>
        <v/>
      </c>
      <c r="F38" s="377"/>
      <c r="G38" s="382" t="str">
        <f t="shared" si="15"/>
        <v/>
      </c>
      <c r="H38" s="377"/>
      <c r="I38" s="382" t="str">
        <f t="shared" si="16"/>
        <v/>
      </c>
      <c r="J38" s="377"/>
      <c r="K38" s="382" t="str">
        <f t="shared" si="17"/>
        <v/>
      </c>
      <c r="L38" s="377"/>
      <c r="M38" s="382" t="str">
        <f t="shared" si="18"/>
        <v/>
      </c>
      <c r="N38" s="377"/>
      <c r="O38" s="382" t="str">
        <f t="shared" si="19"/>
        <v/>
      </c>
      <c r="P38" s="377"/>
      <c r="Q38" s="382" t="str">
        <f t="shared" si="20"/>
        <v/>
      </c>
      <c r="R38" s="377"/>
      <c r="S38" s="382" t="str">
        <f t="shared" si="21"/>
        <v/>
      </c>
      <c r="T38" s="377"/>
      <c r="U38" s="382" t="str">
        <f t="shared" si="0"/>
        <v/>
      </c>
      <c r="V38" s="377"/>
      <c r="W38" s="382" t="str">
        <f t="shared" si="1"/>
        <v/>
      </c>
      <c r="X38" s="377"/>
      <c r="Y38" s="382" t="str">
        <f t="shared" si="2"/>
        <v/>
      </c>
      <c r="Z38" s="377"/>
      <c r="AA38" s="382" t="str">
        <f t="shared" si="3"/>
        <v/>
      </c>
      <c r="AB38" s="595"/>
      <c r="AC38" s="583" t="str">
        <f t="shared" si="22"/>
        <v/>
      </c>
      <c r="AD38" s="377"/>
      <c r="AE38" s="583" t="str">
        <f t="shared" si="22"/>
        <v/>
      </c>
      <c r="AF38" s="377"/>
      <c r="AG38" s="583" t="str">
        <f t="shared" si="4"/>
        <v/>
      </c>
      <c r="AH38" s="377"/>
      <c r="AI38" s="583" t="str">
        <f t="shared" si="5"/>
        <v/>
      </c>
      <c r="AJ38" s="597"/>
      <c r="AK38" s="583" t="str">
        <f t="shared" si="6"/>
        <v/>
      </c>
      <c r="AL38" s="597"/>
      <c r="AM38" s="583" t="str">
        <f t="shared" si="7"/>
        <v/>
      </c>
      <c r="AN38" s="597"/>
      <c r="AO38" s="583" t="str">
        <f t="shared" si="8"/>
        <v/>
      </c>
      <c r="AP38" s="597"/>
      <c r="AQ38" s="583" t="str">
        <f t="shared" si="9"/>
        <v/>
      </c>
      <c r="AR38" s="597"/>
      <c r="AS38" s="583" t="str">
        <f t="shared" si="10"/>
        <v/>
      </c>
      <c r="AT38" s="597"/>
      <c r="AU38" s="583" t="str">
        <f t="shared" si="11"/>
        <v/>
      </c>
      <c r="AV38" s="597"/>
      <c r="AW38" s="583" t="str">
        <f t="shared" si="12"/>
        <v/>
      </c>
      <c r="AX38" s="597"/>
      <c r="AY38" s="583" t="str">
        <f t="shared" si="13"/>
        <v/>
      </c>
      <c r="AZ38" s="597"/>
      <c r="BA38" s="583" t="str">
        <f t="shared" si="14"/>
        <v/>
      </c>
      <c r="BB38" s="791"/>
    </row>
    <row r="39" spans="1:54" ht="22.15" customHeight="1">
      <c r="A39" s="443" t="s">
        <v>80</v>
      </c>
      <c r="B39" s="444">
        <f>SUM(B8:B38)</f>
        <v>0</v>
      </c>
      <c r="C39" s="445">
        <f>SUM(C8:C38)</f>
        <v>0</v>
      </c>
      <c r="D39" s="570" t="str">
        <f t="shared" ref="D39:P39" si="24">IF(SUM(D8:D38)=0, " ", SUM(D8:D38))</f>
        <v xml:space="preserve"> </v>
      </c>
      <c r="E39" s="571"/>
      <c r="F39" s="570" t="str">
        <f t="shared" si="24"/>
        <v xml:space="preserve"> </v>
      </c>
      <c r="G39" s="572"/>
      <c r="H39" s="570" t="str">
        <f t="shared" si="24"/>
        <v xml:space="preserve"> </v>
      </c>
      <c r="I39" s="572"/>
      <c r="J39" s="570" t="str">
        <f>IF(SUM(J8:J38)=0, " ", SUM(J8:J38))</f>
        <v xml:space="preserve"> </v>
      </c>
      <c r="K39" s="572"/>
      <c r="L39" s="570" t="str">
        <f t="shared" si="24"/>
        <v xml:space="preserve"> </v>
      </c>
      <c r="M39" s="572"/>
      <c r="N39" s="570" t="str">
        <f t="shared" si="24"/>
        <v xml:space="preserve"> </v>
      </c>
      <c r="O39" s="572"/>
      <c r="P39" s="570" t="str">
        <f t="shared" si="24"/>
        <v xml:space="preserve"> </v>
      </c>
      <c r="Q39" s="572"/>
      <c r="R39" s="570" t="str">
        <f>IF(SUM(R8:R38)=0, " ", SUM(R8:R38))</f>
        <v xml:space="preserve"> </v>
      </c>
      <c r="S39" s="572"/>
      <c r="T39" s="570" t="str">
        <f t="shared" ref="T39:AF39" si="25">IF(SUM(T8:T38)=0, " ", SUM(T8:T38))</f>
        <v xml:space="preserve"> </v>
      </c>
      <c r="U39" s="572"/>
      <c r="V39" s="570" t="str">
        <f t="shared" si="25"/>
        <v xml:space="preserve"> </v>
      </c>
      <c r="W39" s="572"/>
      <c r="X39" s="570" t="str">
        <f t="shared" si="25"/>
        <v xml:space="preserve"> </v>
      </c>
      <c r="Y39" s="572"/>
      <c r="Z39" s="570" t="str">
        <f t="shared" si="25"/>
        <v xml:space="preserve"> </v>
      </c>
      <c r="AA39" s="572"/>
      <c r="AB39" s="573" t="str">
        <f t="shared" si="25"/>
        <v xml:space="preserve"> </v>
      </c>
      <c r="AC39" s="574"/>
      <c r="AD39" s="573" t="str">
        <f t="shared" si="25"/>
        <v xml:space="preserve"> </v>
      </c>
      <c r="AE39" s="574"/>
      <c r="AF39" s="573" t="str">
        <f t="shared" si="25"/>
        <v xml:space="preserve"> </v>
      </c>
      <c r="AG39" s="575" t="str">
        <f>IF(SUM(AG8:AG38)=0, " ", SUM(AG8:AG38))</f>
        <v xml:space="preserve"> </v>
      </c>
      <c r="AH39" s="573" t="str">
        <f>IF(SUM(AH8:AH38)=0, " ", SUM(AH8:AH38))</f>
        <v xml:space="preserve"> </v>
      </c>
      <c r="AI39" s="575" t="str">
        <f>IF(SUM(AI8:AI38)=0, " ", SUM(AI8:AI38))</f>
        <v xml:space="preserve"> </v>
      </c>
      <c r="AJ39" s="598" t="str">
        <f>IF(SUM(AJ8:AJ38)=0, " ", SUM(AJ8:AJ38))</f>
        <v xml:space="preserve"> </v>
      </c>
      <c r="AK39" s="575"/>
      <c r="AL39" s="598" t="str">
        <f>IF(SUM(AL8:AL38)=0, " ", SUM(AL8:AL38))</f>
        <v xml:space="preserve"> </v>
      </c>
      <c r="AM39" s="575"/>
      <c r="AN39" s="598" t="str">
        <f>IF(SUM(AN8:AN38)=0, " ", SUM(AN8:AN38))</f>
        <v xml:space="preserve"> </v>
      </c>
      <c r="AO39" s="575"/>
      <c r="AP39" s="598" t="str">
        <f>IF(SUM(AP8:AP38)=0, " ", SUM(AP8:AP38))</f>
        <v xml:space="preserve"> </v>
      </c>
      <c r="AQ39" s="575"/>
      <c r="AR39" s="598" t="str">
        <f>IF(SUM(AR8:AR38)=0, " ", SUM(AR8:AR38))</f>
        <v xml:space="preserve"> </v>
      </c>
      <c r="AS39" s="575"/>
      <c r="AT39" s="598" t="str">
        <f>IF(SUM(AT8:AT38)=0, " ", SUM(AT8:AT38))</f>
        <v xml:space="preserve"> </v>
      </c>
      <c r="AU39" s="575"/>
      <c r="AV39" s="598" t="str">
        <f>IF(SUM(AV8:AV38)=0, " ", SUM(AV8:AV38))</f>
        <v xml:space="preserve"> </v>
      </c>
      <c r="AW39" s="575"/>
      <c r="AX39" s="598" t="str">
        <f>IF(SUM(AX8:AX38)=0, " ", SUM(AX8:AX38))</f>
        <v xml:space="preserve"> </v>
      </c>
      <c r="AY39" s="575"/>
      <c r="AZ39" s="598" t="str">
        <f>IF(SUM(AZ8:AZ38)=0, " ", SUM(AZ8:AZ38))</f>
        <v xml:space="preserve"> </v>
      </c>
      <c r="BA39" s="575"/>
      <c r="BB39" s="791"/>
    </row>
    <row r="40" spans="1:54" ht="22.15" customHeight="1" thickBot="1">
      <c r="A40" s="446" t="s">
        <v>82</v>
      </c>
      <c r="B40" s="447" t="str">
        <f>IFERROR(AVERAGE(B8:B38), " ")</f>
        <v xml:space="preserve"> </v>
      </c>
      <c r="C40" s="448" t="str">
        <f>IFERROR(AVERAGE(C8:C38), " ")</f>
        <v xml:space="preserve"> </v>
      </c>
      <c r="D40" s="449" t="str">
        <f>IFERROR(AVERAGE(D8:D38), " ")</f>
        <v xml:space="preserve"> </v>
      </c>
      <c r="E40" s="546" t="str">
        <f t="shared" ref="E40:AG40" si="26">IFERROR(AVERAGE(E8:E38), " ")</f>
        <v xml:space="preserve"> </v>
      </c>
      <c r="F40" s="449" t="str">
        <f t="shared" si="26"/>
        <v xml:space="preserve"> </v>
      </c>
      <c r="G40" s="546" t="str">
        <f t="shared" si="26"/>
        <v xml:space="preserve"> </v>
      </c>
      <c r="H40" s="449" t="str">
        <f t="shared" si="26"/>
        <v xml:space="preserve"> </v>
      </c>
      <c r="I40" s="546" t="str">
        <f t="shared" si="26"/>
        <v xml:space="preserve"> </v>
      </c>
      <c r="J40" s="449" t="str">
        <f t="shared" si="26"/>
        <v xml:space="preserve"> </v>
      </c>
      <c r="K40" s="546" t="str">
        <f t="shared" si="26"/>
        <v xml:space="preserve"> </v>
      </c>
      <c r="L40" s="449" t="str">
        <f t="shared" si="26"/>
        <v xml:space="preserve"> </v>
      </c>
      <c r="M40" s="546" t="str">
        <f t="shared" si="26"/>
        <v xml:space="preserve"> </v>
      </c>
      <c r="N40" s="449" t="str">
        <f t="shared" si="26"/>
        <v xml:space="preserve"> </v>
      </c>
      <c r="O40" s="546" t="str">
        <f t="shared" si="26"/>
        <v xml:space="preserve"> </v>
      </c>
      <c r="P40" s="449" t="str">
        <f t="shared" si="26"/>
        <v xml:space="preserve"> </v>
      </c>
      <c r="Q40" s="546" t="str">
        <f t="shared" si="26"/>
        <v xml:space="preserve"> </v>
      </c>
      <c r="R40" s="449" t="str">
        <f>IFERROR(AVERAGE(R8:R38), " ")</f>
        <v xml:space="preserve"> </v>
      </c>
      <c r="S40" s="546" t="str">
        <f>IFERROR(AVERAGE(S8:S38), " ")</f>
        <v xml:space="preserve"> </v>
      </c>
      <c r="T40" s="449" t="str">
        <f t="shared" si="26"/>
        <v xml:space="preserve"> </v>
      </c>
      <c r="U40" s="546" t="str">
        <f t="shared" si="26"/>
        <v xml:space="preserve"> </v>
      </c>
      <c r="V40" s="449" t="str">
        <f t="shared" si="26"/>
        <v xml:space="preserve"> </v>
      </c>
      <c r="W40" s="546" t="str">
        <f t="shared" si="26"/>
        <v xml:space="preserve"> </v>
      </c>
      <c r="X40" s="449" t="str">
        <f t="shared" si="26"/>
        <v xml:space="preserve"> </v>
      </c>
      <c r="Y40" s="546" t="str">
        <f t="shared" si="26"/>
        <v xml:space="preserve"> </v>
      </c>
      <c r="Z40" s="449" t="str">
        <f t="shared" si="26"/>
        <v xml:space="preserve"> </v>
      </c>
      <c r="AA40" s="546" t="str">
        <f t="shared" si="26"/>
        <v xml:space="preserve"> </v>
      </c>
      <c r="AB40" s="538" t="str">
        <f t="shared" si="26"/>
        <v xml:space="preserve"> </v>
      </c>
      <c r="AC40" s="547" t="str">
        <f t="shared" si="26"/>
        <v xml:space="preserve"> </v>
      </c>
      <c r="AD40" s="538" t="str">
        <f t="shared" si="26"/>
        <v xml:space="preserve"> </v>
      </c>
      <c r="AE40" s="547" t="str">
        <f t="shared" si="26"/>
        <v xml:space="preserve"> </v>
      </c>
      <c r="AF40" s="538" t="str">
        <f t="shared" si="26"/>
        <v xml:space="preserve"> </v>
      </c>
      <c r="AG40" s="547" t="str">
        <f t="shared" si="26"/>
        <v xml:space="preserve"> </v>
      </c>
      <c r="AH40" s="538" t="str">
        <f t="shared" ref="AH40:BA40" si="27">IFERROR(AVERAGE(AH8:AH38), " ")</f>
        <v xml:space="preserve"> </v>
      </c>
      <c r="AI40" s="547" t="str">
        <f t="shared" si="27"/>
        <v xml:space="preserve"> </v>
      </c>
      <c r="AJ40" s="599" t="str">
        <f t="shared" si="27"/>
        <v xml:space="preserve"> </v>
      </c>
      <c r="AK40" s="547" t="str">
        <f t="shared" si="27"/>
        <v xml:space="preserve"> </v>
      </c>
      <c r="AL40" s="599" t="str">
        <f t="shared" si="27"/>
        <v xml:space="preserve"> </v>
      </c>
      <c r="AM40" s="547" t="str">
        <f t="shared" si="27"/>
        <v xml:space="preserve"> </v>
      </c>
      <c r="AN40" s="599" t="str">
        <f t="shared" si="27"/>
        <v xml:space="preserve"> </v>
      </c>
      <c r="AO40" s="547" t="str">
        <f t="shared" si="27"/>
        <v xml:space="preserve"> </v>
      </c>
      <c r="AP40" s="599" t="str">
        <f t="shared" si="27"/>
        <v xml:space="preserve"> </v>
      </c>
      <c r="AQ40" s="547" t="str">
        <f t="shared" si="27"/>
        <v xml:space="preserve"> </v>
      </c>
      <c r="AR40" s="599" t="str">
        <f t="shared" si="27"/>
        <v xml:space="preserve"> </v>
      </c>
      <c r="AS40" s="547" t="str">
        <f t="shared" si="27"/>
        <v xml:space="preserve"> </v>
      </c>
      <c r="AT40" s="599" t="str">
        <f t="shared" si="27"/>
        <v xml:space="preserve"> </v>
      </c>
      <c r="AU40" s="547" t="str">
        <f t="shared" si="27"/>
        <v xml:space="preserve"> </v>
      </c>
      <c r="AV40" s="599" t="str">
        <f t="shared" si="27"/>
        <v xml:space="preserve"> </v>
      </c>
      <c r="AW40" s="547" t="str">
        <f t="shared" si="27"/>
        <v xml:space="preserve"> </v>
      </c>
      <c r="AX40" s="599" t="str">
        <f t="shared" si="27"/>
        <v xml:space="preserve"> </v>
      </c>
      <c r="AY40" s="547" t="str">
        <f t="shared" si="27"/>
        <v xml:space="preserve"> </v>
      </c>
      <c r="AZ40" s="599" t="str">
        <f t="shared" si="27"/>
        <v xml:space="preserve"> </v>
      </c>
      <c r="BA40" s="547" t="str">
        <f t="shared" si="27"/>
        <v xml:space="preserve"> </v>
      </c>
      <c r="BB40" s="791"/>
    </row>
    <row r="41" spans="1:54" ht="22.15" customHeight="1">
      <c r="A41" s="791"/>
      <c r="B41" s="1189" t="s">
        <v>84</v>
      </c>
      <c r="C41" s="1190"/>
      <c r="D41" s="806" t="str">
        <f>IF(MAX(B8:B38)=0, " ", MAX(B8:B38))</f>
        <v xml:space="preserve"> </v>
      </c>
      <c r="E41" s="808"/>
      <c r="F41" s="1191" t="s">
        <v>85</v>
      </c>
      <c r="G41" s="1191"/>
      <c r="H41" s="1192"/>
      <c r="I41" s="807">
        <f>COUNTIF(B8:B38, "&gt;0")</f>
        <v>0</v>
      </c>
      <c r="J41" s="791"/>
      <c r="K41" s="791"/>
      <c r="L41" s="809"/>
      <c r="M41" s="809"/>
      <c r="N41" s="810"/>
      <c r="O41" s="810"/>
      <c r="P41" s="791"/>
      <c r="Q41" s="791"/>
      <c r="R41" s="791"/>
      <c r="S41" s="791"/>
      <c r="T41" s="791"/>
      <c r="U41" s="791"/>
      <c r="V41" s="791"/>
      <c r="W41" s="791"/>
      <c r="X41" s="791"/>
      <c r="Y41" s="791"/>
      <c r="Z41" s="791"/>
      <c r="AA41" s="791"/>
      <c r="AB41" s="791"/>
      <c r="AC41" s="791"/>
      <c r="AD41" s="791"/>
      <c r="AE41" s="791"/>
      <c r="AF41" s="791"/>
      <c r="AG41" s="791"/>
      <c r="AH41" s="791"/>
      <c r="AI41" s="791"/>
      <c r="AJ41" s="811"/>
      <c r="AK41" s="812"/>
      <c r="AL41" s="811"/>
      <c r="AM41" s="812"/>
      <c r="AN41" s="811"/>
      <c r="AO41" s="812"/>
      <c r="AP41" s="811"/>
      <c r="AQ41" s="812"/>
      <c r="AR41" s="811"/>
      <c r="AS41" s="812"/>
      <c r="AT41" s="811"/>
      <c r="AU41" s="812"/>
      <c r="AV41" s="811"/>
      <c r="AW41" s="812"/>
      <c r="AX41" s="811"/>
      <c r="AY41" s="812"/>
      <c r="AZ41" s="811"/>
      <c r="BA41" s="812"/>
      <c r="BB41" s="791"/>
    </row>
    <row r="42" spans="1:54" ht="25.9" customHeight="1">
      <c r="A42" s="791">
        <f>PWSID</f>
        <v>0</v>
      </c>
      <c r="B42" s="1188" t="s">
        <v>717</v>
      </c>
      <c r="C42" s="1188"/>
      <c r="D42" s="1188"/>
      <c r="E42" s="1188"/>
      <c r="F42" s="1188"/>
      <c r="G42" s="1188"/>
      <c r="H42" s="1188"/>
      <c r="I42" s="1188"/>
      <c r="J42" s="1193" t="s">
        <v>87</v>
      </c>
      <c r="K42" s="1193"/>
      <c r="L42" s="1193"/>
      <c r="M42" s="1193"/>
      <c r="N42" s="1193"/>
      <c r="O42" s="1193"/>
      <c r="P42" s="1193"/>
      <c r="Q42" s="1193"/>
      <c r="R42" s="812"/>
      <c r="S42" s="812"/>
      <c r="T42" s="812"/>
      <c r="U42" s="812"/>
      <c r="V42" s="821" t="str">
        <f>MMYYYY</f>
        <v>05/2025</v>
      </c>
      <c r="W42" s="813"/>
      <c r="X42" s="821">
        <f>PWSID</f>
        <v>0</v>
      </c>
      <c r="Y42" s="813"/>
      <c r="Z42" s="813"/>
      <c r="AA42" s="813"/>
      <c r="AB42" s="812"/>
      <c r="AC42" s="812"/>
      <c r="AD42" s="791"/>
      <c r="AE42" s="791"/>
      <c r="AF42" s="791"/>
      <c r="AG42" s="791"/>
      <c r="AH42" s="791"/>
      <c r="AI42" s="791"/>
      <c r="AJ42" s="814"/>
      <c r="AK42" s="812"/>
      <c r="AL42" s="814"/>
      <c r="AM42" s="812"/>
      <c r="AN42" s="814"/>
      <c r="AO42" s="812"/>
      <c r="AP42" s="814"/>
      <c r="AQ42" s="812"/>
      <c r="AR42" s="814"/>
      <c r="AS42" s="812"/>
      <c r="AT42" s="814"/>
      <c r="AU42" s="812"/>
      <c r="AV42" s="814"/>
      <c r="AW42" s="812"/>
      <c r="AX42" s="814"/>
      <c r="AY42" s="812"/>
      <c r="AZ42" s="814"/>
      <c r="BA42" s="812"/>
      <c r="BB42" s="791"/>
    </row>
    <row r="43" spans="1:54" ht="18" customHeight="1">
      <c r="A43" s="791" t="str">
        <f>MMYYYY</f>
        <v>05/2025</v>
      </c>
      <c r="B43" s="1188"/>
      <c r="C43" s="1188"/>
      <c r="D43" s="1188"/>
      <c r="E43" s="1188"/>
      <c r="F43" s="1188"/>
      <c r="G43" s="1188"/>
      <c r="H43" s="1188"/>
      <c r="I43" s="1188"/>
      <c r="J43" s="1193"/>
      <c r="K43" s="1193"/>
      <c r="L43" s="1193"/>
      <c r="M43" s="1193"/>
      <c r="N43" s="1193"/>
      <c r="O43" s="1193"/>
      <c r="P43" s="1193"/>
      <c r="Q43" s="1193"/>
      <c r="R43" s="812"/>
      <c r="S43" s="812"/>
      <c r="T43" s="812"/>
      <c r="U43" s="812"/>
      <c r="V43" s="812"/>
      <c r="W43" s="812"/>
      <c r="X43" s="812"/>
      <c r="Y43" s="812"/>
      <c r="Z43" s="812"/>
      <c r="AA43" s="812"/>
      <c r="AB43" s="812"/>
      <c r="AC43" s="812"/>
      <c r="AD43" s="791"/>
      <c r="AE43" s="791"/>
      <c r="AF43" s="791"/>
      <c r="AG43" s="791"/>
      <c r="AH43" s="791"/>
      <c r="AI43" s="791"/>
      <c r="AJ43" s="814"/>
      <c r="AK43" s="812"/>
      <c r="AL43" s="814"/>
      <c r="AM43" s="812"/>
      <c r="AN43" s="814"/>
      <c r="AO43" s="812"/>
      <c r="AP43" s="814"/>
      <c r="AQ43" s="812"/>
      <c r="AR43" s="814"/>
      <c r="AS43" s="812"/>
      <c r="AT43" s="814"/>
      <c r="AU43" s="812"/>
      <c r="AV43" s="814"/>
      <c r="AW43" s="812"/>
      <c r="AX43" s="814"/>
      <c r="AY43" s="812"/>
      <c r="AZ43" s="814"/>
      <c r="BA43" s="812"/>
      <c r="BB43" s="791"/>
    </row>
    <row r="44" spans="1:54" ht="18.75" customHeight="1">
      <c r="A44" s="791"/>
      <c r="B44" s="1188"/>
      <c r="C44" s="1188"/>
      <c r="D44" s="1188"/>
      <c r="E44" s="1188"/>
      <c r="F44" s="1188"/>
      <c r="G44" s="1188"/>
      <c r="H44" s="1188"/>
      <c r="I44" s="1188"/>
      <c r="J44" s="815" t="s">
        <v>88</v>
      </c>
      <c r="K44" s="1194" t="s">
        <v>89</v>
      </c>
      <c r="L44" s="1194"/>
      <c r="M44" s="1194"/>
      <c r="N44" s="1194"/>
      <c r="O44" s="1194"/>
      <c r="P44" s="1194"/>
      <c r="Q44" s="1194"/>
      <c r="R44" s="1194"/>
      <c r="S44" s="1194"/>
      <c r="T44" s="791"/>
      <c r="U44" s="791"/>
      <c r="V44" s="791"/>
      <c r="W44" s="791"/>
      <c r="X44" s="791"/>
      <c r="Y44" s="791"/>
      <c r="Z44" s="791"/>
      <c r="AA44" s="791"/>
      <c r="AB44" s="791"/>
      <c r="AC44" s="791"/>
      <c r="AD44" s="791"/>
      <c r="AE44" s="791"/>
      <c r="AF44" s="791"/>
      <c r="AG44" s="791"/>
      <c r="AH44" s="791"/>
      <c r="AI44" s="791"/>
      <c r="AJ44" s="814"/>
      <c r="AK44" s="812"/>
      <c r="AL44" s="814"/>
      <c r="AM44" s="812"/>
      <c r="AN44" s="814"/>
      <c r="AO44" s="812"/>
      <c r="AP44" s="814"/>
      <c r="AQ44" s="812"/>
      <c r="AR44" s="814"/>
      <c r="AS44" s="812"/>
      <c r="AT44" s="814"/>
      <c r="AU44" s="812"/>
      <c r="AV44" s="814"/>
      <c r="AW44" s="812"/>
      <c r="AX44" s="814"/>
      <c r="AY44" s="812"/>
      <c r="AZ44" s="814"/>
      <c r="BA44" s="812"/>
      <c r="BB44" s="791"/>
    </row>
    <row r="45" spans="1:54" ht="15.6" customHeight="1">
      <c r="A45" s="791"/>
      <c r="B45" s="1188"/>
      <c r="C45" s="1188"/>
      <c r="D45" s="1188"/>
      <c r="E45" s="1188"/>
      <c r="F45" s="1188"/>
      <c r="G45" s="1188"/>
      <c r="H45" s="1188"/>
      <c r="I45" s="1188"/>
      <c r="J45" s="816"/>
      <c r="K45" s="1194"/>
      <c r="L45" s="1194"/>
      <c r="M45" s="1194"/>
      <c r="N45" s="1194"/>
      <c r="O45" s="1194"/>
      <c r="P45" s="1194"/>
      <c r="Q45" s="1194"/>
      <c r="R45" s="1194"/>
      <c r="S45" s="1194"/>
      <c r="T45" s="791"/>
      <c r="U45" s="791"/>
      <c r="V45" s="791"/>
      <c r="W45" s="791"/>
      <c r="X45" s="791"/>
      <c r="Y45" s="791"/>
      <c r="Z45" s="791"/>
      <c r="AA45" s="791"/>
      <c r="AB45" s="791"/>
      <c r="AC45" s="791"/>
      <c r="AD45" s="791"/>
      <c r="AE45" s="791"/>
      <c r="AF45" s="791"/>
      <c r="AG45" s="791"/>
      <c r="AH45" s="791"/>
      <c r="AI45" s="791"/>
      <c r="AJ45" s="814"/>
      <c r="AK45" s="812"/>
      <c r="AL45" s="814"/>
      <c r="AM45" s="812"/>
      <c r="AN45" s="814"/>
      <c r="AO45" s="812"/>
      <c r="AP45" s="814"/>
      <c r="AQ45" s="812"/>
      <c r="AR45" s="814"/>
      <c r="AS45" s="812"/>
      <c r="AT45" s="814"/>
      <c r="AU45" s="812"/>
      <c r="AV45" s="814"/>
      <c r="AW45" s="812"/>
      <c r="AX45" s="814"/>
      <c r="AY45" s="812"/>
      <c r="AZ45" s="814"/>
      <c r="BA45" s="812"/>
      <c r="BB45" s="791"/>
    </row>
    <row r="46" spans="1:54" ht="24" customHeight="1">
      <c r="A46" s="791"/>
      <c r="B46" s="1188"/>
      <c r="C46" s="1188"/>
      <c r="D46" s="1188"/>
      <c r="E46" s="1188"/>
      <c r="F46" s="1188"/>
      <c r="G46" s="1188"/>
      <c r="H46" s="1188"/>
      <c r="I46" s="1188"/>
      <c r="J46" s="816"/>
      <c r="K46" s="1194" t="s">
        <v>90</v>
      </c>
      <c r="L46" s="1194"/>
      <c r="M46" s="1194"/>
      <c r="N46" s="1194"/>
      <c r="O46" s="1194"/>
      <c r="P46" s="1194"/>
      <c r="Q46" s="1194"/>
      <c r="R46" s="1194"/>
      <c r="S46" s="1194"/>
      <c r="T46" s="791"/>
      <c r="U46" s="791"/>
      <c r="V46" s="791"/>
      <c r="W46" s="791"/>
      <c r="X46" s="791"/>
      <c r="Y46" s="791"/>
      <c r="Z46" s="791"/>
      <c r="AA46" s="791"/>
      <c r="AB46" s="791"/>
      <c r="AC46" s="791"/>
      <c r="AD46" s="791"/>
      <c r="AE46" s="791"/>
      <c r="AF46" s="791"/>
      <c r="AG46" s="791"/>
      <c r="AH46" s="791"/>
      <c r="AI46" s="791"/>
      <c r="AJ46" s="814"/>
      <c r="AK46" s="812"/>
      <c r="AL46" s="814"/>
      <c r="AM46" s="812"/>
      <c r="AN46" s="814"/>
      <c r="AO46" s="812"/>
      <c r="AP46" s="814"/>
      <c r="AQ46" s="812"/>
      <c r="AR46" s="814"/>
      <c r="AS46" s="812"/>
      <c r="AT46" s="814"/>
      <c r="AU46" s="812"/>
      <c r="AV46" s="814"/>
      <c r="AW46" s="812"/>
      <c r="AX46" s="814"/>
      <c r="AY46" s="812"/>
      <c r="AZ46" s="814"/>
      <c r="BA46" s="812"/>
      <c r="BB46" s="791"/>
    </row>
    <row r="47" spans="1:54" ht="13.15" customHeight="1">
      <c r="B47" s="405"/>
      <c r="C47" s="405"/>
      <c r="D47" s="405"/>
      <c r="E47" s="405"/>
      <c r="F47" s="405"/>
      <c r="G47" s="405"/>
      <c r="H47" s="405"/>
      <c r="I47" s="405"/>
      <c r="J47" s="405"/>
      <c r="K47" s="405"/>
    </row>
  </sheetData>
  <sheetProtection algorithmName="SHA-512" hashValue="MIBVBa6TCPcj9uysIcchSR9C/V5sM68NTlolELr7mLXRWIhZhAHNFHWepUY+gHYyob32ajAcpz0HEK6RHCVnbA==" saltValue="dkJgEOGuGXeq9o1YXiHI4A==" spinCount="100000" sheet="1" formatCells="0" formatColumns="0" insertColumns="0" selectLockedCells="1"/>
  <mergeCells count="134">
    <mergeCell ref="AV6:AW6"/>
    <mergeCell ref="AX6:AY6"/>
    <mergeCell ref="AZ6:BA6"/>
    <mergeCell ref="AV4:AW4"/>
    <mergeCell ref="AX4:AY4"/>
    <mergeCell ref="AZ4:BA4"/>
    <mergeCell ref="AV5:AW5"/>
    <mergeCell ref="AX5:AY5"/>
    <mergeCell ref="AZ5:BA5"/>
    <mergeCell ref="AV2:AW2"/>
    <mergeCell ref="AX2:AY2"/>
    <mergeCell ref="AZ2:BA2"/>
    <mergeCell ref="AV3:AW3"/>
    <mergeCell ref="AX3:AY3"/>
    <mergeCell ref="AZ3:BA3"/>
    <mergeCell ref="AT2:AU2"/>
    <mergeCell ref="AT3:AU3"/>
    <mergeCell ref="AT4:AU4"/>
    <mergeCell ref="AT5:AU5"/>
    <mergeCell ref="AT6:AU6"/>
    <mergeCell ref="AR2:AS2"/>
    <mergeCell ref="AR3:AS3"/>
    <mergeCell ref="AR4:AS4"/>
    <mergeCell ref="AR5:AS5"/>
    <mergeCell ref="AR6:AS6"/>
    <mergeCell ref="AP2:AQ2"/>
    <mergeCell ref="AP3:AQ3"/>
    <mergeCell ref="AP4:AQ4"/>
    <mergeCell ref="AP5:AQ5"/>
    <mergeCell ref="AP6:AQ6"/>
    <mergeCell ref="AN2:AO2"/>
    <mergeCell ref="AN3:AO3"/>
    <mergeCell ref="AN4:AO4"/>
    <mergeCell ref="AN5:AO5"/>
    <mergeCell ref="AN6:AO6"/>
    <mergeCell ref="AL2:AM2"/>
    <mergeCell ref="AL3:AM3"/>
    <mergeCell ref="AL4:AM4"/>
    <mergeCell ref="AL5:AM5"/>
    <mergeCell ref="AL6:AM6"/>
    <mergeCell ref="B42:I46"/>
    <mergeCell ref="B41:C41"/>
    <mergeCell ref="F41:H41"/>
    <mergeCell ref="J42:Q43"/>
    <mergeCell ref="K44:S45"/>
    <mergeCell ref="K46:S46"/>
    <mergeCell ref="A2:A7"/>
    <mergeCell ref="C2:C7"/>
    <mergeCell ref="B2:B6"/>
    <mergeCell ref="D2:E2"/>
    <mergeCell ref="F2:G2"/>
    <mergeCell ref="H2:I2"/>
    <mergeCell ref="D6:E6"/>
    <mergeCell ref="D4:E4"/>
    <mergeCell ref="D5:E5"/>
    <mergeCell ref="F4:G4"/>
    <mergeCell ref="F5:G5"/>
    <mergeCell ref="H4:I4"/>
    <mergeCell ref="F6:G6"/>
    <mergeCell ref="H6:I6"/>
    <mergeCell ref="H5:I5"/>
    <mergeCell ref="D3:E3"/>
    <mergeCell ref="F3:G3"/>
    <mergeCell ref="H3:I3"/>
    <mergeCell ref="X2:Y2"/>
    <mergeCell ref="V4:W4"/>
    <mergeCell ref="Z4:AA4"/>
    <mergeCell ref="Z3:AA3"/>
    <mergeCell ref="N3:O3"/>
    <mergeCell ref="J5:K5"/>
    <mergeCell ref="J6:K6"/>
    <mergeCell ref="P4:Q4"/>
    <mergeCell ref="T4:U4"/>
    <mergeCell ref="L6:M6"/>
    <mergeCell ref="L5:M5"/>
    <mergeCell ref="L4:M4"/>
    <mergeCell ref="N6:O6"/>
    <mergeCell ref="R4:S4"/>
    <mergeCell ref="R5:S5"/>
    <mergeCell ref="R6:S6"/>
    <mergeCell ref="N5:O5"/>
    <mergeCell ref="N4:O4"/>
    <mergeCell ref="P6:Q6"/>
    <mergeCell ref="P5:Q5"/>
    <mergeCell ref="T6:U6"/>
    <mergeCell ref="T5:U5"/>
    <mergeCell ref="AD6:AE6"/>
    <mergeCell ref="AD5:AE5"/>
    <mergeCell ref="AD4:AE4"/>
    <mergeCell ref="AB5:AC5"/>
    <mergeCell ref="AB6:AC6"/>
    <mergeCell ref="AD2:AE2"/>
    <mergeCell ref="AF2:AG2"/>
    <mergeCell ref="Z2:AA2"/>
    <mergeCell ref="J4:K4"/>
    <mergeCell ref="L2:M2"/>
    <mergeCell ref="N2:O2"/>
    <mergeCell ref="P2:Q2"/>
    <mergeCell ref="T2:U2"/>
    <mergeCell ref="J2:K2"/>
    <mergeCell ref="R2:S2"/>
    <mergeCell ref="J3:K3"/>
    <mergeCell ref="L3:M3"/>
    <mergeCell ref="AB3:AC3"/>
    <mergeCell ref="AD3:AE3"/>
    <mergeCell ref="AF3:AG3"/>
    <mergeCell ref="V2:W2"/>
    <mergeCell ref="X4:Y4"/>
    <mergeCell ref="AF4:AG4"/>
    <mergeCell ref="AB4:AC4"/>
    <mergeCell ref="AJ6:AK6"/>
    <mergeCell ref="AH2:AI2"/>
    <mergeCell ref="AH3:AI3"/>
    <mergeCell ref="AH4:AI4"/>
    <mergeCell ref="AH5:AI5"/>
    <mergeCell ref="AH6:AI6"/>
    <mergeCell ref="P3:Q3"/>
    <mergeCell ref="T3:U3"/>
    <mergeCell ref="V3:W3"/>
    <mergeCell ref="X3:Y3"/>
    <mergeCell ref="R3:S3"/>
    <mergeCell ref="Z5:AA5"/>
    <mergeCell ref="V5:W5"/>
    <mergeCell ref="AJ2:AK2"/>
    <mergeCell ref="AJ3:AK3"/>
    <mergeCell ref="AJ4:AK4"/>
    <mergeCell ref="AJ5:AK5"/>
    <mergeCell ref="V6:W6"/>
    <mergeCell ref="X6:Y6"/>
    <mergeCell ref="Z6:AA6"/>
    <mergeCell ref="X5:Y5"/>
    <mergeCell ref="AB2:AC2"/>
    <mergeCell ref="AF6:AG6"/>
    <mergeCell ref="AF5:AG5"/>
  </mergeCells>
  <phoneticPr fontId="0" type="noConversion"/>
  <hyperlinks>
    <hyperlink ref="A1" location="Bookmarks!A1" display="Return to Bookmarks" xr:uid="{4DCC269A-ABA7-400C-9B92-E8AB36246202}"/>
  </hyperlinks>
  <printOptions verticalCentered="1"/>
  <pageMargins left="1.25" right="0.75" top="0.5" bottom="0.5" header="0.25" footer="0"/>
  <pageSetup scale="64" orientation="portrait" r:id="rId1"/>
  <headerFooter alignWithMargins="0">
    <oddHeader>&amp;LMonthly Operating Report
Chemicals</oddHeader>
  </headerFooter>
  <colBreaks count="3" manualBreakCount="3">
    <brk id="9" max="1048575" man="1"/>
    <brk id="19" max="1048575" man="1"/>
    <brk id="27" max="1048575" man="1"/>
  </colBreak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Dropdowns!$J$2:$J$4</xm:f>
          </x14:formula1>
          <xm:sqref>D5:AA5</xm:sqref>
        </x14:dataValidation>
        <x14:dataValidation type="list" allowBlank="1" showInputMessage="1" showErrorMessage="1" xr:uid="{0966C912-52D8-44FF-A4DC-2AFA3D90F964}">
          <x14:formula1>
            <xm:f>Dropdowns!$B$2:$B$14</xm:f>
          </x14:formula1>
          <xm:sqref>D3:G3</xm:sqref>
        </x14:dataValidation>
        <x14:dataValidation type="list" allowBlank="1" showInputMessage="1" showErrorMessage="1" xr:uid="{3F944691-4331-45A8-842D-D6DD43DC9E7A}">
          <x14:formula1>
            <xm:f>Dropdowns!$G$2:$G$3</xm:f>
          </x14:formula1>
          <xm:sqref>V3:W3</xm:sqref>
        </x14:dataValidation>
        <x14:dataValidation type="list" allowBlank="1" showInputMessage="1" showErrorMessage="1" xr:uid="{E2D3378F-2E89-4209-B680-8D7644C206BA}">
          <x14:formula1>
            <xm:f>Dropdowns!$I$2:$I$3</xm:f>
          </x14:formula1>
          <xm:sqref>Z3:AA3</xm:sqref>
        </x14:dataValidation>
        <x14:dataValidation type="list" allowBlank="1" showInputMessage="1" showErrorMessage="1" xr:uid="{250D0019-7C7F-421A-B7DF-F8FCA238DE8B}">
          <x14:formula1>
            <xm:f>Dropdowns!$C$2:$C$10</xm:f>
          </x14:formula1>
          <xm:sqref>H3:K3</xm:sqref>
        </x14:dataValidation>
        <x14:dataValidation type="list" allowBlank="1" showInputMessage="1" showErrorMessage="1" xr:uid="{FAF37A1C-FC0E-4908-9BA1-FC3918FEBB77}">
          <x14:formula1>
            <xm:f>Dropdowns!$F$2:$F$6</xm:f>
          </x14:formula1>
          <xm:sqref>T3:U3</xm:sqref>
        </x14:dataValidation>
        <x14:dataValidation type="list" allowBlank="1" showInputMessage="1" showErrorMessage="1" xr:uid="{4B27E17D-B060-4919-B532-9BB35B972AD3}">
          <x14:formula1>
            <xm:f>Dropdowns!$E$2:$E$3</xm:f>
          </x14:formula1>
          <xm:sqref>R3:S3</xm:sqref>
        </x14:dataValidation>
        <x14:dataValidation type="list" allowBlank="1" showInputMessage="1" showErrorMessage="1" xr:uid="{D874EF8B-9E6D-4302-BA09-ACE707174DD0}">
          <x14:formula1>
            <xm:f>Dropdowns!$D$2:$D$6</xm:f>
          </x14:formula1>
          <xm:sqref>L3:Q3</xm:sqref>
        </x14:dataValidation>
        <x14:dataValidation type="list" allowBlank="1" showInputMessage="1" showErrorMessage="1" xr:uid="{96A7FC2F-4F4E-435E-8BD0-96CD13DB1A8D}">
          <x14:formula1>
            <xm:f>Dropdowns!$H$2:$H$6</xm:f>
          </x14:formula1>
          <xm:sqref>X3:Y3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AC55"/>
  <sheetViews>
    <sheetView showGridLines="0" zoomScale="90" zoomScaleNormal="90" zoomScaleSheetLayoutView="100" zoomScalePageLayoutView="70" workbookViewId="0">
      <pane xSplit="1" ySplit="4" topLeftCell="B5" activePane="bottomRight" state="frozen"/>
      <selection pane="topRight" activeCell="E34" sqref="E34"/>
      <selection pane="bottomLeft" activeCell="E34" sqref="E34"/>
      <selection pane="bottomRight" activeCell="B5" sqref="B5"/>
    </sheetView>
  </sheetViews>
  <sheetFormatPr defaultColWidth="9" defaultRowHeight="12.75"/>
  <cols>
    <col min="1" max="1" width="9.7109375" customWidth="1"/>
    <col min="2" max="2" width="7.7109375" customWidth="1"/>
    <col min="3" max="3" width="8.28515625" customWidth="1"/>
    <col min="4" max="6" width="7.7109375" customWidth="1"/>
    <col min="7" max="13" width="8.7109375" customWidth="1"/>
    <col min="14" max="15" width="8.28515625" customWidth="1"/>
    <col min="16" max="19" width="9.7109375" customWidth="1"/>
    <col min="20" max="20" width="11.7109375" customWidth="1"/>
    <col min="21" max="21" width="11.42578125" customWidth="1"/>
    <col min="22" max="22" width="12.7109375" customWidth="1"/>
    <col min="23" max="24" width="10.7109375" customWidth="1"/>
    <col min="25" max="25" width="8.7109375" customWidth="1"/>
    <col min="26" max="26" width="0.7109375" customWidth="1"/>
    <col min="27" max="28" width="9.7109375" customWidth="1"/>
    <col min="29" max="29" width="2.28515625" customWidth="1"/>
  </cols>
  <sheetData>
    <row r="1" spans="1:29" ht="24.75" customHeight="1" thickBot="1">
      <c r="A1" s="1090" t="s">
        <v>730</v>
      </c>
      <c r="B1" s="122" t="s">
        <v>91</v>
      </c>
      <c r="C1" s="122"/>
      <c r="D1" s="122"/>
      <c r="E1" s="122"/>
      <c r="F1" s="122"/>
      <c r="G1" s="122"/>
      <c r="H1" s="122"/>
      <c r="I1" s="122"/>
      <c r="J1" s="122"/>
      <c r="K1" s="122"/>
      <c r="L1" s="122"/>
      <c r="M1" s="122"/>
      <c r="N1" s="122"/>
      <c r="O1" s="236"/>
      <c r="P1" s="122"/>
      <c r="Q1" s="122"/>
      <c r="R1" s="122"/>
      <c r="S1" s="122"/>
      <c r="T1" s="122"/>
      <c r="U1" s="122"/>
      <c r="V1" s="122"/>
      <c r="W1" s="122"/>
      <c r="X1" s="122"/>
      <c r="Y1" s="234"/>
      <c r="Z1" s="677"/>
      <c r="AA1" s="190"/>
      <c r="AB1" s="235"/>
      <c r="AC1" s="791"/>
    </row>
    <row r="2" spans="1:29" ht="45.75" customHeight="1">
      <c r="A2" s="822"/>
      <c r="B2" s="1223" t="s">
        <v>92</v>
      </c>
      <c r="C2" s="1223"/>
      <c r="D2" s="1223"/>
      <c r="E2" s="1229" t="s">
        <v>93</v>
      </c>
      <c r="F2" s="1230"/>
      <c r="G2" s="1225" t="s">
        <v>94</v>
      </c>
      <c r="H2" s="1226"/>
      <c r="I2" s="1233" t="s">
        <v>95</v>
      </c>
      <c r="J2" s="1234"/>
      <c r="K2" s="1234"/>
      <c r="L2" s="1235"/>
      <c r="M2" s="1212" t="s">
        <v>96</v>
      </c>
      <c r="N2" s="1213"/>
      <c r="O2" s="1214"/>
      <c r="P2" s="1247" t="s">
        <v>97</v>
      </c>
      <c r="Q2" s="1248"/>
      <c r="R2" s="1243" t="s">
        <v>98</v>
      </c>
      <c r="S2" s="1244"/>
      <c r="T2" s="1239" t="s">
        <v>99</v>
      </c>
      <c r="U2" s="1240"/>
      <c r="V2" s="1251" t="s">
        <v>100</v>
      </c>
      <c r="W2" s="1249" t="s">
        <v>101</v>
      </c>
      <c r="X2" s="1250"/>
      <c r="Y2" s="1253" t="s">
        <v>102</v>
      </c>
      <c r="Z2" s="830"/>
      <c r="AA2" s="1236" t="s">
        <v>103</v>
      </c>
      <c r="AB2" s="1237" t="s">
        <v>104</v>
      </c>
      <c r="AC2" s="791"/>
    </row>
    <row r="3" spans="1:29" ht="42" customHeight="1">
      <c r="A3" s="822"/>
      <c r="B3" s="1224"/>
      <c r="C3" s="1224"/>
      <c r="D3" s="1224"/>
      <c r="E3" s="1231"/>
      <c r="F3" s="1232"/>
      <c r="G3" s="1227"/>
      <c r="H3" s="1228"/>
      <c r="I3" s="1218" t="s">
        <v>105</v>
      </c>
      <c r="J3" s="1219"/>
      <c r="K3" s="1218" t="s">
        <v>639</v>
      </c>
      <c r="L3" s="1220"/>
      <c r="M3" s="1215"/>
      <c r="N3" s="1216"/>
      <c r="O3" s="1217"/>
      <c r="P3" s="1245"/>
      <c r="Q3" s="1246"/>
      <c r="R3" s="1245"/>
      <c r="S3" s="1246"/>
      <c r="T3" s="1241"/>
      <c r="U3" s="1242"/>
      <c r="V3" s="1252"/>
      <c r="W3" s="1249"/>
      <c r="X3" s="1250"/>
      <c r="Y3" s="1254"/>
      <c r="Z3" s="830"/>
      <c r="AA3" s="1236"/>
      <c r="AB3" s="1238"/>
      <c r="AC3" s="791"/>
    </row>
    <row r="4" spans="1:29" s="91" customFormat="1" ht="34.5" customHeight="1" thickBot="1">
      <c r="A4" s="823" t="s">
        <v>58</v>
      </c>
      <c r="B4" s="824" t="s">
        <v>107</v>
      </c>
      <c r="C4" s="825" t="s">
        <v>105</v>
      </c>
      <c r="D4" s="824" t="s">
        <v>108</v>
      </c>
      <c r="E4" s="826" t="s">
        <v>107</v>
      </c>
      <c r="F4" s="826" t="s">
        <v>108</v>
      </c>
      <c r="G4" s="826" t="s">
        <v>107</v>
      </c>
      <c r="H4" s="826" t="s">
        <v>108</v>
      </c>
      <c r="I4" s="826" t="s">
        <v>80</v>
      </c>
      <c r="J4" s="827" t="str">
        <f>IF(O41="Y","FREE (opt.)","FREE")</f>
        <v>FREE</v>
      </c>
      <c r="K4" s="826" t="s">
        <v>80</v>
      </c>
      <c r="L4" s="827" t="str">
        <f>IF(O41="Y","FREE (opt.)","FREE")</f>
        <v>FREE</v>
      </c>
      <c r="M4" s="827" t="s">
        <v>109</v>
      </c>
      <c r="N4" s="828" t="s">
        <v>110</v>
      </c>
      <c r="O4" s="829" t="s">
        <v>106</v>
      </c>
      <c r="P4" s="826" t="s">
        <v>107</v>
      </c>
      <c r="Q4" s="826" t="s">
        <v>108</v>
      </c>
      <c r="R4" s="826" t="s">
        <v>107</v>
      </c>
      <c r="S4" s="826" t="s">
        <v>108</v>
      </c>
      <c r="T4" s="826" t="s">
        <v>107</v>
      </c>
      <c r="U4" s="826" t="s">
        <v>108</v>
      </c>
      <c r="V4" s="826" t="s">
        <v>108</v>
      </c>
      <c r="W4" s="296" t="str">
        <f>IF(O41="Y","FREE (optional)","FREE")</f>
        <v>FREE</v>
      </c>
      <c r="X4" s="295" t="str">
        <f>IF(O41="Y","TOTAL","")</f>
        <v/>
      </c>
      <c r="Y4" s="826" t="s">
        <v>111</v>
      </c>
      <c r="Z4" s="831"/>
      <c r="AA4" s="832" t="s">
        <v>112</v>
      </c>
      <c r="AB4" s="833" t="s">
        <v>666</v>
      </c>
      <c r="AC4" s="837"/>
    </row>
    <row r="5" spans="1:29" ht="20.100000000000001" customHeight="1">
      <c r="A5" s="88">
        <v>1</v>
      </c>
      <c r="B5" s="204"/>
      <c r="C5" s="204"/>
      <c r="D5" s="204"/>
      <c r="E5" s="205"/>
      <c r="F5" s="205"/>
      <c r="G5" s="205"/>
      <c r="H5" s="205"/>
      <c r="I5" s="204"/>
      <c r="J5" s="204"/>
      <c r="K5" s="834"/>
      <c r="L5" s="834"/>
      <c r="M5" s="204"/>
      <c r="N5" s="204"/>
      <c r="O5" s="206"/>
      <c r="P5" s="196"/>
      <c r="Q5" s="196"/>
      <c r="R5" s="196"/>
      <c r="S5" s="196"/>
      <c r="T5" s="196"/>
      <c r="U5" s="196"/>
      <c r="V5" s="196"/>
      <c r="W5" s="196"/>
      <c r="X5" s="196"/>
      <c r="Y5" s="196"/>
      <c r="Z5" s="678"/>
      <c r="AA5" s="196"/>
      <c r="AB5" s="215"/>
      <c r="AC5" s="791"/>
    </row>
    <row r="6" spans="1:29" ht="20.100000000000001" customHeight="1">
      <c r="A6" s="89">
        <v>2</v>
      </c>
      <c r="B6" s="196"/>
      <c r="C6" s="196"/>
      <c r="D6" s="196"/>
      <c r="E6" s="207"/>
      <c r="F6" s="207"/>
      <c r="G6" s="207"/>
      <c r="H6" s="207"/>
      <c r="I6" s="196"/>
      <c r="J6" s="196"/>
      <c r="K6" s="835"/>
      <c r="L6" s="835"/>
      <c r="M6" s="196"/>
      <c r="N6" s="196"/>
      <c r="O6" s="208"/>
      <c r="P6" s="196"/>
      <c r="Q6" s="196"/>
      <c r="R6" s="196"/>
      <c r="S6" s="196"/>
      <c r="T6" s="196"/>
      <c r="U6" s="196"/>
      <c r="V6" s="196"/>
      <c r="W6" s="209"/>
      <c r="X6" s="196"/>
      <c r="Y6" s="209"/>
      <c r="Z6" s="678"/>
      <c r="AA6" s="227"/>
      <c r="AB6" s="215"/>
      <c r="AC6" s="791"/>
    </row>
    <row r="7" spans="1:29" ht="20.100000000000001" customHeight="1">
      <c r="A7" s="89">
        <v>3</v>
      </c>
      <c r="B7" s="196"/>
      <c r="C7" s="196"/>
      <c r="D7" s="196"/>
      <c r="E7" s="207"/>
      <c r="F7" s="207"/>
      <c r="G7" s="207"/>
      <c r="H7" s="207"/>
      <c r="I7" s="196"/>
      <c r="J7" s="196"/>
      <c r="K7" s="835"/>
      <c r="L7" s="835"/>
      <c r="M7" s="196"/>
      <c r="N7" s="196"/>
      <c r="O7" s="208"/>
      <c r="P7" s="196"/>
      <c r="Q7" s="196"/>
      <c r="R7" s="196"/>
      <c r="S7" s="196"/>
      <c r="T7" s="196"/>
      <c r="U7" s="196"/>
      <c r="V7" s="210"/>
      <c r="W7" s="210"/>
      <c r="X7" s="196"/>
      <c r="Y7" s="210"/>
      <c r="Z7" s="678"/>
      <c r="AA7" s="227"/>
      <c r="AB7" s="215"/>
      <c r="AC7" s="791"/>
    </row>
    <row r="8" spans="1:29" ht="20.100000000000001" customHeight="1">
      <c r="A8" s="89">
        <v>4</v>
      </c>
      <c r="B8" s="196"/>
      <c r="C8" s="196"/>
      <c r="D8" s="196"/>
      <c r="E8" s="207"/>
      <c r="F8" s="207"/>
      <c r="G8" s="207"/>
      <c r="H8" s="207"/>
      <c r="I8" s="196"/>
      <c r="J8" s="196"/>
      <c r="K8" s="835"/>
      <c r="L8" s="835"/>
      <c r="M8" s="196"/>
      <c r="N8" s="196"/>
      <c r="O8" s="208"/>
      <c r="P8" s="196"/>
      <c r="Q8" s="196"/>
      <c r="R8" s="196"/>
      <c r="S8" s="196"/>
      <c r="T8" s="196"/>
      <c r="U8" s="196"/>
      <c r="V8" s="210"/>
      <c r="W8" s="210"/>
      <c r="X8" s="196"/>
      <c r="Y8" s="210"/>
      <c r="Z8" s="678"/>
      <c r="AA8" s="227"/>
      <c r="AB8" s="215"/>
      <c r="AC8" s="791"/>
    </row>
    <row r="9" spans="1:29" ht="20.100000000000001" customHeight="1">
      <c r="A9" s="89">
        <v>5</v>
      </c>
      <c r="B9" s="196"/>
      <c r="C9" s="196"/>
      <c r="D9" s="196"/>
      <c r="E9" s="207"/>
      <c r="F9" s="207"/>
      <c r="G9" s="207"/>
      <c r="H9" s="207"/>
      <c r="I9" s="196"/>
      <c r="J9" s="196"/>
      <c r="K9" s="835"/>
      <c r="L9" s="835"/>
      <c r="M9" s="196"/>
      <c r="N9" s="196"/>
      <c r="O9" s="208"/>
      <c r="P9" s="196"/>
      <c r="Q9" s="196"/>
      <c r="R9" s="196"/>
      <c r="S9" s="196"/>
      <c r="T9" s="196"/>
      <c r="U9" s="196"/>
      <c r="V9" s="210"/>
      <c r="W9" s="210"/>
      <c r="X9" s="196"/>
      <c r="Y9" s="210"/>
      <c r="Z9" s="678"/>
      <c r="AA9" s="227"/>
      <c r="AB9" s="215"/>
      <c r="AC9" s="791"/>
    </row>
    <row r="10" spans="1:29" ht="20.100000000000001" customHeight="1">
      <c r="A10" s="89">
        <v>6</v>
      </c>
      <c r="B10" s="196"/>
      <c r="C10" s="196"/>
      <c r="D10" s="196"/>
      <c r="E10" s="207"/>
      <c r="F10" s="207"/>
      <c r="G10" s="207"/>
      <c r="H10" s="207"/>
      <c r="I10" s="196"/>
      <c r="J10" s="196"/>
      <c r="K10" s="835"/>
      <c r="L10" s="835"/>
      <c r="M10" s="196"/>
      <c r="N10" s="196"/>
      <c r="O10" s="208"/>
      <c r="P10" s="196"/>
      <c r="Q10" s="196"/>
      <c r="R10" s="196"/>
      <c r="S10" s="196"/>
      <c r="T10" s="196"/>
      <c r="U10" s="196"/>
      <c r="V10" s="210"/>
      <c r="W10" s="210"/>
      <c r="X10" s="196"/>
      <c r="Y10" s="210"/>
      <c r="Z10" s="678"/>
      <c r="AA10" s="227"/>
      <c r="AB10" s="215"/>
      <c r="AC10" s="791"/>
    </row>
    <row r="11" spans="1:29" ht="20.100000000000001" customHeight="1">
      <c r="A11" s="89">
        <v>7</v>
      </c>
      <c r="B11" s="196"/>
      <c r="C11" s="196"/>
      <c r="D11" s="196"/>
      <c r="E11" s="207"/>
      <c r="F11" s="207"/>
      <c r="G11" s="207"/>
      <c r="H11" s="207"/>
      <c r="I11" s="196"/>
      <c r="J11" s="196"/>
      <c r="K11" s="835"/>
      <c r="L11" s="835"/>
      <c r="M11" s="196"/>
      <c r="N11" s="196"/>
      <c r="O11" s="208"/>
      <c r="P11" s="196"/>
      <c r="Q11" s="196"/>
      <c r="R11" s="196"/>
      <c r="S11" s="196"/>
      <c r="T11" s="196"/>
      <c r="U11" s="196"/>
      <c r="V11" s="210"/>
      <c r="W11" s="210"/>
      <c r="X11" s="196"/>
      <c r="Y11" s="210"/>
      <c r="Z11" s="678"/>
      <c r="AA11" s="227"/>
      <c r="AB11" s="215"/>
      <c r="AC11" s="791"/>
    </row>
    <row r="12" spans="1:29" ht="20.100000000000001" customHeight="1">
      <c r="A12" s="89">
        <v>8</v>
      </c>
      <c r="B12" s="196"/>
      <c r="C12" s="196"/>
      <c r="D12" s="196"/>
      <c r="E12" s="207"/>
      <c r="F12" s="207"/>
      <c r="G12" s="207"/>
      <c r="H12" s="207"/>
      <c r="I12" s="196"/>
      <c r="J12" s="196"/>
      <c r="K12" s="835"/>
      <c r="L12" s="835"/>
      <c r="M12" s="196"/>
      <c r="N12" s="196"/>
      <c r="O12" s="208"/>
      <c r="P12" s="196"/>
      <c r="Q12" s="196"/>
      <c r="R12" s="196"/>
      <c r="S12" s="196"/>
      <c r="T12" s="196"/>
      <c r="U12" s="196"/>
      <c r="V12" s="210"/>
      <c r="W12" s="210"/>
      <c r="X12" s="196"/>
      <c r="Y12" s="210"/>
      <c r="Z12" s="678"/>
      <c r="AA12" s="227"/>
      <c r="AB12" s="215"/>
      <c r="AC12" s="791"/>
    </row>
    <row r="13" spans="1:29" ht="20.100000000000001" customHeight="1">
      <c r="A13" s="89">
        <v>9</v>
      </c>
      <c r="B13" s="196"/>
      <c r="C13" s="196"/>
      <c r="D13" s="196"/>
      <c r="E13" s="207"/>
      <c r="F13" s="207"/>
      <c r="G13" s="207"/>
      <c r="H13" s="207"/>
      <c r="I13" s="196"/>
      <c r="J13" s="196"/>
      <c r="K13" s="835"/>
      <c r="L13" s="835"/>
      <c r="M13" s="196"/>
      <c r="N13" s="196"/>
      <c r="O13" s="208"/>
      <c r="P13" s="196"/>
      <c r="Q13" s="196"/>
      <c r="R13" s="196"/>
      <c r="S13" s="196"/>
      <c r="T13" s="196"/>
      <c r="U13" s="196"/>
      <c r="V13" s="210"/>
      <c r="W13" s="210"/>
      <c r="X13" s="196"/>
      <c r="Y13" s="210"/>
      <c r="Z13" s="678"/>
      <c r="AA13" s="227"/>
      <c r="AB13" s="215"/>
      <c r="AC13" s="791"/>
    </row>
    <row r="14" spans="1:29" ht="20.100000000000001" customHeight="1">
      <c r="A14" s="89">
        <v>10</v>
      </c>
      <c r="B14" s="196"/>
      <c r="C14" s="196"/>
      <c r="D14" s="196"/>
      <c r="E14" s="207"/>
      <c r="F14" s="207"/>
      <c r="G14" s="207"/>
      <c r="H14" s="207"/>
      <c r="I14" s="196"/>
      <c r="J14" s="196"/>
      <c r="K14" s="835"/>
      <c r="L14" s="835"/>
      <c r="M14" s="196"/>
      <c r="N14" s="196"/>
      <c r="O14" s="208"/>
      <c r="P14" s="196"/>
      <c r="Q14" s="196"/>
      <c r="R14" s="196"/>
      <c r="S14" s="196"/>
      <c r="T14" s="196"/>
      <c r="U14" s="196"/>
      <c r="V14" s="210"/>
      <c r="W14" s="210"/>
      <c r="X14" s="196"/>
      <c r="Y14" s="210"/>
      <c r="Z14" s="678"/>
      <c r="AA14" s="227"/>
      <c r="AB14" s="215"/>
      <c r="AC14" s="791"/>
    </row>
    <row r="15" spans="1:29" ht="20.100000000000001" customHeight="1">
      <c r="A15" s="89">
        <v>11</v>
      </c>
      <c r="B15" s="196"/>
      <c r="C15" s="196"/>
      <c r="D15" s="196"/>
      <c r="E15" s="207"/>
      <c r="F15" s="207"/>
      <c r="G15" s="207"/>
      <c r="H15" s="207"/>
      <c r="I15" s="196"/>
      <c r="J15" s="196"/>
      <c r="K15" s="835"/>
      <c r="L15" s="835"/>
      <c r="M15" s="196"/>
      <c r="N15" s="196"/>
      <c r="O15" s="208"/>
      <c r="P15" s="196"/>
      <c r="Q15" s="196"/>
      <c r="R15" s="196"/>
      <c r="S15" s="196"/>
      <c r="T15" s="196"/>
      <c r="U15" s="196"/>
      <c r="V15" s="210"/>
      <c r="W15" s="210"/>
      <c r="X15" s="196"/>
      <c r="Y15" s="210"/>
      <c r="Z15" s="678"/>
      <c r="AA15" s="227"/>
      <c r="AB15" s="215"/>
      <c r="AC15" s="791"/>
    </row>
    <row r="16" spans="1:29" ht="20.100000000000001" customHeight="1">
      <c r="A16" s="89">
        <v>12</v>
      </c>
      <c r="B16" s="196"/>
      <c r="C16" s="196"/>
      <c r="D16" s="196"/>
      <c r="E16" s="207"/>
      <c r="F16" s="207"/>
      <c r="G16" s="207"/>
      <c r="H16" s="207"/>
      <c r="I16" s="196"/>
      <c r="J16" s="196"/>
      <c r="K16" s="835"/>
      <c r="L16" s="835"/>
      <c r="M16" s="196"/>
      <c r="N16" s="196"/>
      <c r="O16" s="208"/>
      <c r="P16" s="196"/>
      <c r="Q16" s="196"/>
      <c r="R16" s="196"/>
      <c r="S16" s="196"/>
      <c r="T16" s="196"/>
      <c r="U16" s="196"/>
      <c r="V16" s="210"/>
      <c r="W16" s="210"/>
      <c r="X16" s="196"/>
      <c r="Y16" s="210"/>
      <c r="Z16" s="678"/>
      <c r="AA16" s="227"/>
      <c r="AB16" s="215"/>
      <c r="AC16" s="791"/>
    </row>
    <row r="17" spans="1:29" ht="20.100000000000001" customHeight="1">
      <c r="A17" s="89">
        <v>13</v>
      </c>
      <c r="B17" s="196"/>
      <c r="C17" s="196"/>
      <c r="D17" s="196"/>
      <c r="E17" s="207"/>
      <c r="F17" s="207"/>
      <c r="G17" s="207"/>
      <c r="H17" s="207"/>
      <c r="I17" s="196"/>
      <c r="J17" s="196"/>
      <c r="K17" s="835"/>
      <c r="L17" s="835"/>
      <c r="M17" s="196"/>
      <c r="N17" s="196"/>
      <c r="O17" s="208"/>
      <c r="P17" s="196"/>
      <c r="Q17" s="196"/>
      <c r="R17" s="196"/>
      <c r="S17" s="196"/>
      <c r="T17" s="196"/>
      <c r="U17" s="196"/>
      <c r="V17" s="210"/>
      <c r="W17" s="210"/>
      <c r="X17" s="196"/>
      <c r="Y17" s="210"/>
      <c r="Z17" s="678"/>
      <c r="AA17" s="227"/>
      <c r="AB17" s="215"/>
      <c r="AC17" s="791"/>
    </row>
    <row r="18" spans="1:29" ht="20.100000000000001" customHeight="1">
      <c r="A18" s="89">
        <v>14</v>
      </c>
      <c r="B18" s="196"/>
      <c r="C18" s="196"/>
      <c r="D18" s="196"/>
      <c r="E18" s="207"/>
      <c r="F18" s="207"/>
      <c r="G18" s="207"/>
      <c r="H18" s="207"/>
      <c r="I18" s="196"/>
      <c r="J18" s="196"/>
      <c r="K18" s="835"/>
      <c r="L18" s="835"/>
      <c r="M18" s="196"/>
      <c r="N18" s="196"/>
      <c r="O18" s="208"/>
      <c r="P18" s="196"/>
      <c r="Q18" s="196"/>
      <c r="R18" s="196"/>
      <c r="S18" s="196"/>
      <c r="T18" s="196"/>
      <c r="U18" s="196"/>
      <c r="V18" s="210"/>
      <c r="W18" s="210"/>
      <c r="X18" s="196"/>
      <c r="Y18" s="210"/>
      <c r="Z18" s="678"/>
      <c r="AA18" s="227"/>
      <c r="AB18" s="215"/>
      <c r="AC18" s="791"/>
    </row>
    <row r="19" spans="1:29" ht="20.100000000000001" customHeight="1">
      <c r="A19" s="89">
        <v>15</v>
      </c>
      <c r="B19" s="196"/>
      <c r="C19" s="196"/>
      <c r="D19" s="196"/>
      <c r="E19" s="207"/>
      <c r="F19" s="207"/>
      <c r="G19" s="207"/>
      <c r="H19" s="207"/>
      <c r="I19" s="196"/>
      <c r="J19" s="196"/>
      <c r="K19" s="835"/>
      <c r="L19" s="835"/>
      <c r="M19" s="196"/>
      <c r="N19" s="196"/>
      <c r="O19" s="208"/>
      <c r="P19" s="196"/>
      <c r="Q19" s="196"/>
      <c r="R19" s="196"/>
      <c r="S19" s="196"/>
      <c r="T19" s="196"/>
      <c r="U19" s="196"/>
      <c r="V19" s="210"/>
      <c r="W19" s="210"/>
      <c r="X19" s="196"/>
      <c r="Y19" s="210"/>
      <c r="Z19" s="678"/>
      <c r="AA19" s="227"/>
      <c r="AB19" s="215"/>
      <c r="AC19" s="791"/>
    </row>
    <row r="20" spans="1:29" ht="20.100000000000001" customHeight="1">
      <c r="A20" s="89">
        <v>16</v>
      </c>
      <c r="B20" s="196"/>
      <c r="C20" s="196"/>
      <c r="D20" s="196"/>
      <c r="E20" s="207"/>
      <c r="F20" s="207"/>
      <c r="G20" s="207"/>
      <c r="H20" s="207"/>
      <c r="I20" s="196"/>
      <c r="J20" s="196"/>
      <c r="K20" s="835"/>
      <c r="L20" s="835"/>
      <c r="M20" s="196"/>
      <c r="N20" s="196"/>
      <c r="O20" s="208"/>
      <c r="P20" s="196"/>
      <c r="Q20" s="196"/>
      <c r="R20" s="196"/>
      <c r="S20" s="196"/>
      <c r="T20" s="196"/>
      <c r="U20" s="196"/>
      <c r="V20" s="210"/>
      <c r="W20" s="210"/>
      <c r="X20" s="196"/>
      <c r="Y20" s="210"/>
      <c r="Z20" s="678"/>
      <c r="AA20" s="227"/>
      <c r="AB20" s="215"/>
      <c r="AC20" s="791"/>
    </row>
    <row r="21" spans="1:29" ht="20.100000000000001" customHeight="1">
      <c r="A21" s="89">
        <v>17</v>
      </c>
      <c r="B21" s="196"/>
      <c r="C21" s="196"/>
      <c r="D21" s="196"/>
      <c r="E21" s="207"/>
      <c r="F21" s="207"/>
      <c r="G21" s="207"/>
      <c r="H21" s="207"/>
      <c r="I21" s="196"/>
      <c r="J21" s="196"/>
      <c r="K21" s="835"/>
      <c r="L21" s="835"/>
      <c r="M21" s="196"/>
      <c r="N21" s="196"/>
      <c r="O21" s="208"/>
      <c r="P21" s="196"/>
      <c r="Q21" s="196"/>
      <c r="R21" s="196"/>
      <c r="S21" s="196"/>
      <c r="T21" s="196"/>
      <c r="U21" s="196"/>
      <c r="V21" s="210"/>
      <c r="W21" s="210"/>
      <c r="X21" s="196"/>
      <c r="Y21" s="210"/>
      <c r="Z21" s="678"/>
      <c r="AA21" s="227"/>
      <c r="AB21" s="215"/>
      <c r="AC21" s="791"/>
    </row>
    <row r="22" spans="1:29" ht="20.100000000000001" customHeight="1">
      <c r="A22" s="89">
        <v>18</v>
      </c>
      <c r="B22" s="196"/>
      <c r="C22" s="196"/>
      <c r="D22" s="196"/>
      <c r="E22" s="207"/>
      <c r="F22" s="207"/>
      <c r="G22" s="207"/>
      <c r="H22" s="207"/>
      <c r="I22" s="196"/>
      <c r="J22" s="196"/>
      <c r="K22" s="835"/>
      <c r="L22" s="835"/>
      <c r="M22" s="196"/>
      <c r="N22" s="196"/>
      <c r="O22" s="208"/>
      <c r="P22" s="196"/>
      <c r="Q22" s="196"/>
      <c r="R22" s="196"/>
      <c r="S22" s="196"/>
      <c r="T22" s="196"/>
      <c r="U22" s="196"/>
      <c r="V22" s="210"/>
      <c r="W22" s="210"/>
      <c r="X22" s="196"/>
      <c r="Y22" s="210"/>
      <c r="Z22" s="678"/>
      <c r="AA22" s="227"/>
      <c r="AB22" s="215"/>
      <c r="AC22" s="791"/>
    </row>
    <row r="23" spans="1:29" ht="20.100000000000001" customHeight="1">
      <c r="A23" s="89">
        <v>19</v>
      </c>
      <c r="B23" s="196"/>
      <c r="C23" s="196"/>
      <c r="D23" s="196"/>
      <c r="E23" s="207"/>
      <c r="F23" s="207"/>
      <c r="G23" s="207"/>
      <c r="H23" s="207"/>
      <c r="I23" s="196"/>
      <c r="J23" s="196"/>
      <c r="K23" s="835"/>
      <c r="L23" s="835"/>
      <c r="M23" s="196"/>
      <c r="N23" s="196"/>
      <c r="O23" s="208"/>
      <c r="P23" s="196"/>
      <c r="Q23" s="196"/>
      <c r="R23" s="196"/>
      <c r="S23" s="196"/>
      <c r="T23" s="196"/>
      <c r="U23" s="196"/>
      <c r="V23" s="210"/>
      <c r="W23" s="210"/>
      <c r="X23" s="196"/>
      <c r="Y23" s="210"/>
      <c r="Z23" s="678"/>
      <c r="AA23" s="227"/>
      <c r="AB23" s="215"/>
      <c r="AC23" s="791"/>
    </row>
    <row r="24" spans="1:29" ht="20.100000000000001" customHeight="1">
      <c r="A24" s="89">
        <v>20</v>
      </c>
      <c r="B24" s="196"/>
      <c r="C24" s="196"/>
      <c r="D24" s="196"/>
      <c r="E24" s="207"/>
      <c r="F24" s="207"/>
      <c r="G24" s="207"/>
      <c r="H24" s="207"/>
      <c r="I24" s="196"/>
      <c r="J24" s="196"/>
      <c r="K24" s="835"/>
      <c r="L24" s="835"/>
      <c r="M24" s="196"/>
      <c r="N24" s="196"/>
      <c r="O24" s="208"/>
      <c r="P24" s="196"/>
      <c r="Q24" s="196"/>
      <c r="R24" s="196"/>
      <c r="S24" s="196"/>
      <c r="T24" s="196"/>
      <c r="U24" s="196"/>
      <c r="V24" s="210"/>
      <c r="W24" s="210"/>
      <c r="X24" s="196"/>
      <c r="Y24" s="210"/>
      <c r="Z24" s="678"/>
      <c r="AA24" s="227"/>
      <c r="AB24" s="215"/>
      <c r="AC24" s="791"/>
    </row>
    <row r="25" spans="1:29" ht="20.100000000000001" customHeight="1">
      <c r="A25" s="89">
        <v>21</v>
      </c>
      <c r="B25" s="196"/>
      <c r="C25" s="196"/>
      <c r="D25" s="196"/>
      <c r="E25" s="207"/>
      <c r="F25" s="207"/>
      <c r="G25" s="207"/>
      <c r="H25" s="207"/>
      <c r="I25" s="196"/>
      <c r="J25" s="196"/>
      <c r="K25" s="835"/>
      <c r="L25" s="835"/>
      <c r="M25" s="196"/>
      <c r="N25" s="196"/>
      <c r="O25" s="208"/>
      <c r="P25" s="196"/>
      <c r="Q25" s="196"/>
      <c r="R25" s="196"/>
      <c r="S25" s="196"/>
      <c r="T25" s="196"/>
      <c r="U25" s="196"/>
      <c r="V25" s="210"/>
      <c r="W25" s="210"/>
      <c r="X25" s="196"/>
      <c r="Y25" s="210"/>
      <c r="Z25" s="678"/>
      <c r="AA25" s="227"/>
      <c r="AB25" s="215"/>
      <c r="AC25" s="791"/>
    </row>
    <row r="26" spans="1:29" ht="20.100000000000001" customHeight="1">
      <c r="A26" s="89">
        <v>22</v>
      </c>
      <c r="B26" s="196"/>
      <c r="C26" s="196"/>
      <c r="D26" s="196"/>
      <c r="E26" s="207"/>
      <c r="F26" s="207"/>
      <c r="G26" s="207"/>
      <c r="H26" s="207"/>
      <c r="I26" s="196"/>
      <c r="J26" s="196"/>
      <c r="K26" s="835"/>
      <c r="L26" s="835"/>
      <c r="M26" s="196"/>
      <c r="N26" s="196"/>
      <c r="O26" s="208"/>
      <c r="P26" s="196"/>
      <c r="Q26" s="196"/>
      <c r="R26" s="196"/>
      <c r="S26" s="196"/>
      <c r="T26" s="196"/>
      <c r="U26" s="196"/>
      <c r="V26" s="210"/>
      <c r="W26" s="210"/>
      <c r="X26" s="196"/>
      <c r="Y26" s="210"/>
      <c r="Z26" s="678"/>
      <c r="AA26" s="227"/>
      <c r="AB26" s="215"/>
      <c r="AC26" s="791"/>
    </row>
    <row r="27" spans="1:29" ht="20.100000000000001" customHeight="1">
      <c r="A27" s="89">
        <v>23</v>
      </c>
      <c r="B27" s="196"/>
      <c r="C27" s="196"/>
      <c r="D27" s="196"/>
      <c r="E27" s="207"/>
      <c r="F27" s="207"/>
      <c r="G27" s="207"/>
      <c r="H27" s="207"/>
      <c r="I27" s="196"/>
      <c r="J27" s="196"/>
      <c r="K27" s="835"/>
      <c r="L27" s="835"/>
      <c r="M27" s="196"/>
      <c r="N27" s="196"/>
      <c r="O27" s="208"/>
      <c r="P27" s="196"/>
      <c r="Q27" s="196"/>
      <c r="R27" s="196"/>
      <c r="S27" s="196"/>
      <c r="T27" s="196"/>
      <c r="U27" s="196"/>
      <c r="V27" s="210"/>
      <c r="W27" s="210"/>
      <c r="X27" s="196"/>
      <c r="Y27" s="210"/>
      <c r="Z27" s="678"/>
      <c r="AA27" s="227"/>
      <c r="AB27" s="215"/>
      <c r="AC27" s="791"/>
    </row>
    <row r="28" spans="1:29" ht="20.100000000000001" customHeight="1">
      <c r="A28" s="89">
        <v>24</v>
      </c>
      <c r="B28" s="196"/>
      <c r="C28" s="196"/>
      <c r="D28" s="196"/>
      <c r="E28" s="207"/>
      <c r="F28" s="207"/>
      <c r="G28" s="207"/>
      <c r="H28" s="207"/>
      <c r="I28" s="196"/>
      <c r="J28" s="196"/>
      <c r="K28" s="835"/>
      <c r="L28" s="835"/>
      <c r="M28" s="196"/>
      <c r="N28" s="196"/>
      <c r="O28" s="208"/>
      <c r="P28" s="196"/>
      <c r="Q28" s="196"/>
      <c r="R28" s="196"/>
      <c r="S28" s="196"/>
      <c r="T28" s="196"/>
      <c r="U28" s="196"/>
      <c r="V28" s="210"/>
      <c r="W28" s="210"/>
      <c r="X28" s="196"/>
      <c r="Y28" s="210"/>
      <c r="Z28" s="678"/>
      <c r="AA28" s="227"/>
      <c r="AB28" s="215"/>
      <c r="AC28" s="791"/>
    </row>
    <row r="29" spans="1:29" ht="20.100000000000001" customHeight="1">
      <c r="A29" s="89">
        <v>25</v>
      </c>
      <c r="B29" s="196"/>
      <c r="C29" s="196"/>
      <c r="D29" s="196"/>
      <c r="E29" s="207"/>
      <c r="F29" s="207"/>
      <c r="G29" s="207"/>
      <c r="H29" s="207"/>
      <c r="I29" s="196"/>
      <c r="J29" s="196"/>
      <c r="K29" s="835"/>
      <c r="L29" s="835"/>
      <c r="M29" s="196"/>
      <c r="N29" s="196"/>
      <c r="O29" s="208"/>
      <c r="P29" s="196"/>
      <c r="Q29" s="196"/>
      <c r="R29" s="196"/>
      <c r="S29" s="196"/>
      <c r="T29" s="196"/>
      <c r="U29" s="196"/>
      <c r="V29" s="210"/>
      <c r="W29" s="210"/>
      <c r="X29" s="196"/>
      <c r="Y29" s="210"/>
      <c r="Z29" s="678"/>
      <c r="AA29" s="227"/>
      <c r="AB29" s="215"/>
      <c r="AC29" s="791"/>
    </row>
    <row r="30" spans="1:29" ht="20.100000000000001" customHeight="1">
      <c r="A30" s="89">
        <v>26</v>
      </c>
      <c r="B30" s="196"/>
      <c r="C30" s="196"/>
      <c r="D30" s="196"/>
      <c r="E30" s="207"/>
      <c r="F30" s="207"/>
      <c r="G30" s="207"/>
      <c r="H30" s="207"/>
      <c r="I30" s="196"/>
      <c r="J30" s="196"/>
      <c r="K30" s="835"/>
      <c r="L30" s="835"/>
      <c r="M30" s="196"/>
      <c r="N30" s="196"/>
      <c r="O30" s="208"/>
      <c r="P30" s="196"/>
      <c r="Q30" s="196"/>
      <c r="R30" s="196"/>
      <c r="S30" s="196"/>
      <c r="T30" s="196"/>
      <c r="U30" s="196"/>
      <c r="V30" s="210"/>
      <c r="W30" s="210"/>
      <c r="X30" s="196"/>
      <c r="Y30" s="210"/>
      <c r="Z30" s="678"/>
      <c r="AA30" s="227"/>
      <c r="AB30" s="215"/>
      <c r="AC30" s="791"/>
    </row>
    <row r="31" spans="1:29" ht="20.100000000000001" customHeight="1">
      <c r="A31" s="89">
        <v>27</v>
      </c>
      <c r="B31" s="196"/>
      <c r="C31" s="196"/>
      <c r="D31" s="196"/>
      <c r="E31" s="207"/>
      <c r="F31" s="207"/>
      <c r="G31" s="207"/>
      <c r="H31" s="207"/>
      <c r="I31" s="196"/>
      <c r="J31" s="196"/>
      <c r="K31" s="835"/>
      <c r="L31" s="835"/>
      <c r="M31" s="196"/>
      <c r="N31" s="196"/>
      <c r="O31" s="208"/>
      <c r="P31" s="196"/>
      <c r="Q31" s="196"/>
      <c r="R31" s="196"/>
      <c r="S31" s="196"/>
      <c r="T31" s="196"/>
      <c r="U31" s="196"/>
      <c r="V31" s="210"/>
      <c r="W31" s="210"/>
      <c r="X31" s="196"/>
      <c r="Y31" s="210"/>
      <c r="Z31" s="678"/>
      <c r="AA31" s="227"/>
      <c r="AB31" s="215"/>
      <c r="AC31" s="791"/>
    </row>
    <row r="32" spans="1:29" ht="20.100000000000001" customHeight="1">
      <c r="A32" s="89">
        <v>28</v>
      </c>
      <c r="B32" s="196"/>
      <c r="C32" s="196"/>
      <c r="D32" s="196"/>
      <c r="E32" s="207"/>
      <c r="F32" s="207"/>
      <c r="G32" s="207"/>
      <c r="H32" s="207"/>
      <c r="I32" s="196"/>
      <c r="J32" s="196"/>
      <c r="K32" s="835"/>
      <c r="L32" s="835"/>
      <c r="M32" s="196"/>
      <c r="N32" s="196"/>
      <c r="O32" s="208"/>
      <c r="P32" s="196"/>
      <c r="Q32" s="196"/>
      <c r="R32" s="196"/>
      <c r="S32" s="196"/>
      <c r="T32" s="196"/>
      <c r="U32" s="196"/>
      <c r="V32" s="210"/>
      <c r="W32" s="210"/>
      <c r="X32" s="196"/>
      <c r="Y32" s="210"/>
      <c r="Z32" s="678"/>
      <c r="AA32" s="227"/>
      <c r="AB32" s="215"/>
      <c r="AC32" s="791"/>
    </row>
    <row r="33" spans="1:29" ht="20.100000000000001" customHeight="1">
      <c r="A33" s="89">
        <v>29</v>
      </c>
      <c r="B33" s="196"/>
      <c r="C33" s="196"/>
      <c r="D33" s="196"/>
      <c r="E33" s="207"/>
      <c r="F33" s="207"/>
      <c r="G33" s="207"/>
      <c r="H33" s="207"/>
      <c r="I33" s="196"/>
      <c r="J33" s="196"/>
      <c r="K33" s="835"/>
      <c r="L33" s="835"/>
      <c r="M33" s="196"/>
      <c r="N33" s="196"/>
      <c r="O33" s="208"/>
      <c r="P33" s="196"/>
      <c r="Q33" s="196"/>
      <c r="R33" s="196"/>
      <c r="S33" s="196"/>
      <c r="T33" s="196"/>
      <c r="U33" s="196"/>
      <c r="V33" s="210"/>
      <c r="W33" s="210"/>
      <c r="X33" s="196"/>
      <c r="Y33" s="210"/>
      <c r="Z33" s="678"/>
      <c r="AA33" s="397"/>
      <c r="AB33" s="215"/>
      <c r="AC33" s="791"/>
    </row>
    <row r="34" spans="1:29" ht="20.100000000000001" customHeight="1">
      <c r="A34" s="89">
        <v>30</v>
      </c>
      <c r="B34" s="196"/>
      <c r="C34" s="196"/>
      <c r="D34" s="196"/>
      <c r="E34" s="207"/>
      <c r="F34" s="207"/>
      <c r="G34" s="207"/>
      <c r="H34" s="207"/>
      <c r="I34" s="196"/>
      <c r="J34" s="196"/>
      <c r="K34" s="835"/>
      <c r="L34" s="835"/>
      <c r="M34" s="196"/>
      <c r="N34" s="196"/>
      <c r="O34" s="208"/>
      <c r="P34" s="196"/>
      <c r="Q34" s="196"/>
      <c r="R34" s="196"/>
      <c r="S34" s="196"/>
      <c r="T34" s="196"/>
      <c r="U34" s="196"/>
      <c r="V34" s="210"/>
      <c r="W34" s="210"/>
      <c r="X34" s="196"/>
      <c r="Y34" s="210"/>
      <c r="Z34" s="678"/>
      <c r="AA34" s="227"/>
      <c r="AB34" s="215"/>
      <c r="AC34" s="791"/>
    </row>
    <row r="35" spans="1:29" ht="20.100000000000001" customHeight="1" thickBot="1">
      <c r="A35" s="90">
        <v>31</v>
      </c>
      <c r="B35" s="211"/>
      <c r="C35" s="211"/>
      <c r="D35" s="211"/>
      <c r="E35" s="212"/>
      <c r="F35" s="212"/>
      <c r="G35" s="212"/>
      <c r="H35" s="212"/>
      <c r="I35" s="211"/>
      <c r="J35" s="211"/>
      <c r="K35" s="836"/>
      <c r="L35" s="836"/>
      <c r="M35" s="197"/>
      <c r="N35" s="211"/>
      <c r="O35" s="213"/>
      <c r="P35" s="211"/>
      <c r="Q35" s="211"/>
      <c r="R35" s="211"/>
      <c r="S35" s="197"/>
      <c r="T35" s="211"/>
      <c r="U35" s="211"/>
      <c r="V35" s="211"/>
      <c r="W35" s="197"/>
      <c r="X35" s="197"/>
      <c r="Y35" s="197"/>
      <c r="Z35" s="678"/>
      <c r="AA35" s="398"/>
      <c r="AB35" s="216"/>
      <c r="AC35" s="791"/>
    </row>
    <row r="36" spans="1:29" ht="20.100000000000001" customHeight="1" thickBot="1">
      <c r="A36" s="450" t="s">
        <v>113</v>
      </c>
      <c r="B36" s="451" t="str">
        <f>IFERROR(AVERAGE(B5:B35), " ")</f>
        <v xml:space="preserve"> </v>
      </c>
      <c r="C36" s="451" t="str">
        <f t="shared" ref="C36:O36" si="0">IFERROR(AVERAGE(C5:C35), " ")</f>
        <v xml:space="preserve"> </v>
      </c>
      <c r="D36" s="451" t="str">
        <f t="shared" si="0"/>
        <v xml:space="preserve"> </v>
      </c>
      <c r="E36" s="451" t="str">
        <f t="shared" si="0"/>
        <v xml:space="preserve"> </v>
      </c>
      <c r="F36" s="451" t="str">
        <f t="shared" si="0"/>
        <v xml:space="preserve"> </v>
      </c>
      <c r="G36" s="451" t="str">
        <f t="shared" si="0"/>
        <v xml:space="preserve"> </v>
      </c>
      <c r="H36" s="451" t="str">
        <f t="shared" si="0"/>
        <v xml:space="preserve"> </v>
      </c>
      <c r="I36" s="451" t="str">
        <f t="shared" si="0"/>
        <v xml:space="preserve"> </v>
      </c>
      <c r="J36" s="451" t="str">
        <f t="shared" si="0"/>
        <v xml:space="preserve"> </v>
      </c>
      <c r="K36" s="451" t="str">
        <f t="shared" si="0"/>
        <v xml:space="preserve"> </v>
      </c>
      <c r="L36" s="451" t="str">
        <f t="shared" si="0"/>
        <v xml:space="preserve"> </v>
      </c>
      <c r="M36" s="451" t="str">
        <f t="shared" si="0"/>
        <v xml:space="preserve"> </v>
      </c>
      <c r="N36" s="451" t="str">
        <f>IFERROR(AVERAGE(N5:N35), " ")</f>
        <v xml:space="preserve"> </v>
      </c>
      <c r="O36" s="451" t="str">
        <f t="shared" si="0"/>
        <v xml:space="preserve"> </v>
      </c>
      <c r="P36" s="451" t="str">
        <f t="shared" ref="P36:Y36" si="1">IFERROR(AVERAGE(P5:P35), " ")</f>
        <v xml:space="preserve"> </v>
      </c>
      <c r="Q36" s="451" t="str">
        <f>IFERROR(AVERAGE(Q5:Q35), " ")</f>
        <v xml:space="preserve"> </v>
      </c>
      <c r="R36" s="451" t="str">
        <f t="shared" si="1"/>
        <v xml:space="preserve"> </v>
      </c>
      <c r="S36" s="452" t="str">
        <f t="shared" si="1"/>
        <v xml:space="preserve"> </v>
      </c>
      <c r="T36" s="451" t="str">
        <f t="shared" si="1"/>
        <v xml:space="preserve"> </v>
      </c>
      <c r="U36" s="453" t="str">
        <f t="shared" si="1"/>
        <v xml:space="preserve"> </v>
      </c>
      <c r="V36" s="453" t="str">
        <f t="shared" si="1"/>
        <v xml:space="preserve"> </v>
      </c>
      <c r="W36" s="452" t="str">
        <f t="shared" si="1"/>
        <v xml:space="preserve"> </v>
      </c>
      <c r="X36" s="452" t="str">
        <f t="shared" si="1"/>
        <v xml:space="preserve"> </v>
      </c>
      <c r="Y36" s="452" t="str">
        <f t="shared" si="1"/>
        <v xml:space="preserve"> </v>
      </c>
      <c r="Z36" s="679"/>
      <c r="AA36" s="454" t="str">
        <f>IFERROR(AVERAGE(AA5:AA35), " ")</f>
        <v xml:space="preserve"> </v>
      </c>
      <c r="AB36" s="455" t="str">
        <f>IFERROR(AVERAGE(AB5:AB35), " ")</f>
        <v xml:space="preserve"> </v>
      </c>
      <c r="AC36" s="791"/>
    </row>
    <row r="37" spans="1:29" ht="37.9" customHeight="1">
      <c r="A37" s="16"/>
      <c r="B37" s="16"/>
      <c r="C37" s="16"/>
      <c r="D37" s="16"/>
      <c r="E37" s="16"/>
      <c r="F37" s="16"/>
      <c r="G37" s="16"/>
      <c r="H37" s="16"/>
      <c r="I37" s="16"/>
      <c r="J37" s="16"/>
      <c r="K37" s="16"/>
      <c r="L37" s="16"/>
      <c r="M37" s="16"/>
      <c r="N37" s="16"/>
      <c r="O37" s="16"/>
      <c r="P37" s="124"/>
      <c r="Q37" s="124"/>
      <c r="R37" s="124"/>
      <c r="S37" s="124"/>
      <c r="T37" s="161"/>
      <c r="U37" s="161"/>
      <c r="V37" s="161"/>
      <c r="W37" s="203"/>
      <c r="X37" s="401"/>
      <c r="Y37" s="607"/>
      <c r="Z37" s="403"/>
      <c r="AA37" s="163" t="s">
        <v>114</v>
      </c>
      <c r="AB37" s="162"/>
      <c r="AC37" s="841" t="s">
        <v>115</v>
      </c>
    </row>
    <row r="38" spans="1:29" ht="23.65" customHeight="1">
      <c r="A38" s="580">
        <f>PWSID</f>
        <v>0</v>
      </c>
      <c r="B38" s="16"/>
      <c r="C38" s="16"/>
      <c r="D38" s="16"/>
      <c r="E38" s="16"/>
      <c r="F38" s="16"/>
      <c r="G38" s="16"/>
      <c r="H38" s="16"/>
      <c r="I38" s="16"/>
      <c r="J38" s="16"/>
      <c r="K38" s="16"/>
      <c r="L38" s="16"/>
      <c r="M38" s="16"/>
      <c r="N38" s="16"/>
      <c r="O38" s="16"/>
      <c r="P38" s="125"/>
      <c r="Q38" s="125"/>
      <c r="R38" s="125"/>
      <c r="S38" s="1210" t="s">
        <v>607</v>
      </c>
      <c r="T38" s="1210"/>
      <c r="U38" s="1210"/>
      <c r="V38" s="1211"/>
      <c r="W38" s="456">
        <f>MIN(W5:X35)</f>
        <v>0</v>
      </c>
      <c r="X38" s="402"/>
      <c r="Y38" s="402"/>
      <c r="Z38" s="404"/>
      <c r="AA38" s="217">
        <f>SUM(AA5:AA35)</f>
        <v>0</v>
      </c>
      <c r="AB38" s="80"/>
      <c r="AC38" s="841" t="s">
        <v>116</v>
      </c>
    </row>
    <row r="39" spans="1:29" ht="23.65" customHeight="1">
      <c r="A39" s="303" t="str">
        <f>MMYYYY</f>
        <v>05/2025</v>
      </c>
      <c r="B39" s="16"/>
      <c r="C39" s="16"/>
      <c r="D39" s="16"/>
      <c r="E39" s="16"/>
      <c r="F39" s="16"/>
      <c r="G39" s="16"/>
      <c r="H39" s="16"/>
      <c r="I39" s="16"/>
      <c r="J39" s="16"/>
      <c r="K39" s="16"/>
      <c r="L39" s="16"/>
      <c r="M39" s="16"/>
      <c r="N39" s="16"/>
      <c r="O39" s="16"/>
      <c r="P39" s="125"/>
      <c r="Q39" s="125"/>
      <c r="R39" s="125"/>
      <c r="S39" s="395"/>
      <c r="T39" s="395"/>
      <c r="U39" s="395"/>
      <c r="V39" s="395"/>
      <c r="W39" s="272" t="s">
        <v>117</v>
      </c>
      <c r="X39" s="272" t="s">
        <v>118</v>
      </c>
      <c r="Y39" s="272"/>
      <c r="Z39" s="271"/>
      <c r="AA39" s="270"/>
      <c r="AB39" s="80"/>
      <c r="AC39" s="791"/>
    </row>
    <row r="40" spans="1:29" ht="33" customHeight="1" thickBot="1">
      <c r="A40" s="16"/>
      <c r="B40" s="16"/>
      <c r="C40" s="1221" t="s">
        <v>119</v>
      </c>
      <c r="D40" s="1221"/>
      <c r="E40" s="1221"/>
      <c r="F40" s="1221"/>
      <c r="G40" s="1221"/>
      <c r="H40" s="1221"/>
      <c r="I40" s="1221"/>
      <c r="J40" s="1221"/>
      <c r="K40" s="1221"/>
      <c r="L40" s="1221"/>
      <c r="M40" s="1221"/>
      <c r="N40" s="1222"/>
      <c r="O40" s="636"/>
      <c r="R40" s="16"/>
      <c r="S40" s="1210" t="s">
        <v>120</v>
      </c>
      <c r="T40" s="1210"/>
      <c r="U40" s="1210"/>
      <c r="V40" s="1211"/>
      <c r="W40" s="457">
        <f>COUNTIF(W5:W35, "&gt;0")</f>
        <v>0</v>
      </c>
      <c r="X40" s="457">
        <f>COUNTIF(X5:X35, "&gt;0")</f>
        <v>0</v>
      </c>
      <c r="Y40" s="608"/>
      <c r="Z40" s="165"/>
      <c r="AA40" s="166"/>
      <c r="AB40" s="80"/>
      <c r="AC40" s="791"/>
    </row>
    <row r="41" spans="1:29" ht="30.6" customHeight="1" thickBot="1">
      <c r="A41" s="16"/>
      <c r="B41" s="16"/>
      <c r="C41" s="16"/>
      <c r="D41" s="125"/>
      <c r="E41" s="125"/>
      <c r="F41" s="125"/>
      <c r="G41" s="392"/>
      <c r="H41" s="125"/>
      <c r="I41" s="16"/>
      <c r="J41" s="16"/>
      <c r="K41" s="16"/>
      <c r="L41" s="125"/>
      <c r="M41" s="125"/>
      <c r="N41" s="393" t="s">
        <v>121</v>
      </c>
      <c r="O41" s="394"/>
      <c r="R41" s="16"/>
      <c r="S41" s="1210" t="s">
        <v>122</v>
      </c>
      <c r="T41" s="1210"/>
      <c r="U41" s="1210"/>
      <c r="V41" s="1211"/>
      <c r="W41" s="458">
        <f>COUNTIF(W5:W35, "&lt;0.2")</f>
        <v>0</v>
      </c>
      <c r="AC41" s="791"/>
    </row>
    <row r="42" spans="1:29" ht="31.15" customHeight="1">
      <c r="A42" s="16"/>
      <c r="B42" s="752" t="s">
        <v>640</v>
      </c>
      <c r="C42" s="16"/>
      <c r="D42" s="16"/>
      <c r="E42" s="16"/>
      <c r="F42" s="16"/>
      <c r="G42" s="16"/>
      <c r="H42" s="16"/>
      <c r="I42" s="16"/>
      <c r="J42" s="16"/>
      <c r="K42" s="16"/>
      <c r="L42" s="164" t="s">
        <v>123</v>
      </c>
      <c r="M42" s="16"/>
      <c r="N42" s="16"/>
      <c r="O42" s="16"/>
      <c r="P42" s="16"/>
      <c r="Q42" s="16"/>
      <c r="R42" s="16"/>
      <c r="S42" s="1210" t="s">
        <v>124</v>
      </c>
      <c r="T42" s="1210"/>
      <c r="U42" s="1210"/>
      <c r="V42" s="1211"/>
      <c r="W42" s="458">
        <f>COUNTIF(X5:X35, "&lt;0.5")</f>
        <v>0</v>
      </c>
      <c r="X42" s="408"/>
      <c r="Y42" s="409"/>
      <c r="Z42" s="409"/>
      <c r="AA42" s="409"/>
      <c r="AB42" s="409"/>
      <c r="AC42" s="791"/>
    </row>
    <row r="43" spans="1:29">
      <c r="A43" s="791"/>
      <c r="B43" s="791"/>
      <c r="C43" s="791"/>
      <c r="D43" s="791"/>
      <c r="E43" s="791"/>
      <c r="F43" s="791"/>
      <c r="G43" s="791"/>
      <c r="H43" s="791"/>
      <c r="I43" s="791"/>
      <c r="J43" s="791"/>
      <c r="K43" s="791"/>
      <c r="L43" s="840" t="s">
        <v>125</v>
      </c>
      <c r="M43" s="839" t="str">
        <f>MMYYYY</f>
        <v>05/2025</v>
      </c>
      <c r="N43" s="839">
        <f>PWSID</f>
        <v>0</v>
      </c>
      <c r="O43" s="791"/>
      <c r="P43" s="838"/>
      <c r="Q43" s="791"/>
      <c r="R43" s="791"/>
      <c r="S43" s="791"/>
      <c r="T43" s="791"/>
      <c r="U43" s="791"/>
      <c r="V43" s="791"/>
      <c r="W43" s="791"/>
      <c r="X43" s="791"/>
      <c r="Y43" s="791"/>
      <c r="Z43" s="791"/>
      <c r="AA43" s="791"/>
      <c r="AB43" s="791"/>
      <c r="AC43" s="791"/>
    </row>
    <row r="44" spans="1:29">
      <c r="C44" s="139" t="s">
        <v>126</v>
      </c>
    </row>
    <row r="45" spans="1:29">
      <c r="C45" s="116" t="s">
        <v>127</v>
      </c>
      <c r="D45" t="s">
        <v>128</v>
      </c>
    </row>
    <row r="46" spans="1:29">
      <c r="C46" s="116"/>
      <c r="D46" t="s">
        <v>129</v>
      </c>
    </row>
    <row r="47" spans="1:29">
      <c r="C47" s="116"/>
    </row>
    <row r="48" spans="1:29">
      <c r="C48" s="116" t="s">
        <v>130</v>
      </c>
    </row>
    <row r="49" spans="4:4">
      <c r="D49" t="s">
        <v>131</v>
      </c>
    </row>
    <row r="50" spans="4:4">
      <c r="D50" t="s">
        <v>132</v>
      </c>
    </row>
    <row r="51" spans="4:4">
      <c r="D51" t="s">
        <v>133</v>
      </c>
    </row>
    <row r="52" spans="4:4">
      <c r="D52" t="s">
        <v>134</v>
      </c>
    </row>
    <row r="53" spans="4:4">
      <c r="D53" t="s">
        <v>135</v>
      </c>
    </row>
    <row r="54" spans="4:4">
      <c r="D54" t="s">
        <v>136</v>
      </c>
    </row>
    <row r="55" spans="4:4">
      <c r="D55" s="116" t="s">
        <v>137</v>
      </c>
    </row>
  </sheetData>
  <sheetProtection algorithmName="SHA-512" hashValue="eTR/vjm/fZjYNsW9iSVixZeHxEAaKTmqpvqlkIo3sgL/aFhiqbuvyp9LAkyOLF8ilSwTnVYsvr7Jsrtc1YXFJA==" saltValue="icb5MuMYpzrgR+0jOU58nw==" spinCount="100000" sheet="1" formatCells="0" formatColumns="0" selectLockedCells="1"/>
  <mergeCells count="20">
    <mergeCell ref="AA2:AA3"/>
    <mergeCell ref="AB2:AB3"/>
    <mergeCell ref="T2:U3"/>
    <mergeCell ref="R2:S3"/>
    <mergeCell ref="P2:Q3"/>
    <mergeCell ref="W2:X3"/>
    <mergeCell ref="V2:V3"/>
    <mergeCell ref="Y2:Y3"/>
    <mergeCell ref="S42:V42"/>
    <mergeCell ref="M2:O3"/>
    <mergeCell ref="I3:J3"/>
    <mergeCell ref="K3:L3"/>
    <mergeCell ref="C40:N40"/>
    <mergeCell ref="B2:D3"/>
    <mergeCell ref="G2:H3"/>
    <mergeCell ref="E2:F3"/>
    <mergeCell ref="I2:L2"/>
    <mergeCell ref="S41:V41"/>
    <mergeCell ref="S38:V38"/>
    <mergeCell ref="S40:V40"/>
  </mergeCells>
  <phoneticPr fontId="0" type="noConversion"/>
  <conditionalFormatting sqref="Q5:Q36">
    <cfRule type="cellIs" dxfId="85" priority="17" operator="greaterThan">
      <formula>0.3</formula>
    </cfRule>
  </conditionalFormatting>
  <conditionalFormatting sqref="S5:S36">
    <cfRule type="cellIs" dxfId="84" priority="16" operator="greaterThan">
      <formula>0.05</formula>
    </cfRule>
  </conditionalFormatting>
  <conditionalFormatting sqref="W5:W35">
    <cfRule type="cellIs" dxfId="83" priority="9" stopIfTrue="1" operator="lessThan">
      <formula>0.2</formula>
    </cfRule>
  </conditionalFormatting>
  <conditionalFormatting sqref="W5:Y35">
    <cfRule type="cellIs" dxfId="82" priority="14" operator="lessThan">
      <formula>$O$40</formula>
    </cfRule>
  </conditionalFormatting>
  <conditionalFormatting sqref="X5:X35">
    <cfRule type="cellIs" dxfId="81" priority="6" stopIfTrue="1" operator="lessThan">
      <formula>0.5</formula>
    </cfRule>
  </conditionalFormatting>
  <conditionalFormatting sqref="X35">
    <cfRule type="cellIs" dxfId="80" priority="1" stopIfTrue="1" operator="lessThan">
      <formula>0.2</formula>
    </cfRule>
  </conditionalFormatting>
  <conditionalFormatting sqref="Y5:Y35">
    <cfRule type="cellIs" dxfId="79" priority="2" stopIfTrue="1" operator="lessThan">
      <formula>0.2</formula>
    </cfRule>
  </conditionalFormatting>
  <dataValidations xWindow="1026" yWindow="821" count="2">
    <dataValidation type="list" errorStyle="information" allowBlank="1" showInputMessage="1" showErrorMessage="1" errorTitle="Invalid Entry" error="You must either use Y or N ." prompt="Select N or Y" sqref="O41" xr:uid="{00000000-0002-0000-0200-000000000000}">
      <formula1>$L$41:$L$43</formula1>
    </dataValidation>
    <dataValidation type="list" allowBlank="1" showInputMessage="1" showErrorMessage="1" sqref="AB4" xr:uid="{00000000-0002-0000-0200-000001000000}">
      <formula1>$AC$37:$AC$38</formula1>
    </dataValidation>
  </dataValidations>
  <hyperlinks>
    <hyperlink ref="A1" location="Bookmarks!A1" display="Return to Bookmarks" xr:uid="{5C9B96BF-3D2E-4B8A-8DB7-68A825F77532}"/>
  </hyperlinks>
  <printOptions horizontalCentered="1" verticalCentered="1"/>
  <pageMargins left="1" right="0.5" top="0.75" bottom="0.5" header="0.5" footer="0"/>
  <pageSetup scale="64" orientation="portrait" r:id="rId1"/>
  <headerFooter alignWithMargins="0">
    <oddHeader>&amp;LMonthly Operating Report
Water Quality Parameters</oddHeader>
  </headerFooter>
  <colBreaks count="1" manualBreakCount="1">
    <brk id="15"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CJ66"/>
  <sheetViews>
    <sheetView showGridLines="0" zoomScaleNormal="100" zoomScaleSheetLayoutView="100" workbookViewId="0">
      <pane ySplit="3" topLeftCell="A4" activePane="bottomLeft" state="frozen"/>
      <selection activeCell="E34" sqref="E34"/>
      <selection pane="bottomLeft" activeCell="D4" sqref="D4"/>
    </sheetView>
  </sheetViews>
  <sheetFormatPr defaultColWidth="9" defaultRowHeight="12.75"/>
  <cols>
    <col min="1" max="1" width="8.7109375" customWidth="1"/>
    <col min="2" max="2" width="9.28515625" customWidth="1"/>
    <col min="3" max="3" width="15.28515625" customWidth="1"/>
    <col min="4" max="9" width="9.7109375" customWidth="1"/>
    <col min="10" max="10" width="11" customWidth="1"/>
    <col min="11" max="11" width="2.28515625" customWidth="1"/>
    <col min="12" max="43" width="6.42578125" customWidth="1"/>
    <col min="44" max="44" width="2.28515625" customWidth="1"/>
    <col min="45" max="45" width="6.28515625" customWidth="1"/>
    <col min="46" max="46" width="9.7109375" customWidth="1"/>
    <col min="47" max="56" width="7.5703125" customWidth="1"/>
    <col min="57" max="57" width="2.28515625" customWidth="1"/>
  </cols>
  <sheetData>
    <row r="1" spans="1:88" ht="31.5" customHeight="1" thickBot="1">
      <c r="A1" s="1083" t="s">
        <v>730</v>
      </c>
      <c r="B1" s="1293" t="s">
        <v>138</v>
      </c>
      <c r="C1" s="1293"/>
      <c r="D1" s="1293"/>
      <c r="E1" s="1293"/>
      <c r="F1" s="1293"/>
      <c r="G1" s="1293"/>
      <c r="H1" s="1293"/>
      <c r="I1" s="297">
        <f>PWSID</f>
        <v>0</v>
      </c>
      <c r="J1" s="298" t="str">
        <f>MMYYYY</f>
        <v>05/2025</v>
      </c>
      <c r="K1" s="858"/>
      <c r="L1" s="237"/>
      <c r="M1" s="1294" t="s">
        <v>628</v>
      </c>
      <c r="N1" s="1294"/>
      <c r="O1" s="1294"/>
      <c r="P1" s="1294"/>
      <c r="Q1" s="1294"/>
      <c r="R1" s="1294"/>
      <c r="S1" s="1294"/>
      <c r="T1" s="1294"/>
      <c r="U1" s="1294"/>
      <c r="V1" s="1294"/>
      <c r="W1" s="1294"/>
      <c r="X1" s="1294"/>
      <c r="Y1" s="299"/>
      <c r="Z1" s="300">
        <f>PWSID</f>
        <v>0</v>
      </c>
      <c r="AA1" s="298" t="str">
        <f>MMYYYY</f>
        <v>05/2025</v>
      </c>
      <c r="AB1" s="237"/>
      <c r="AC1" s="1294" t="s">
        <v>629</v>
      </c>
      <c r="AD1" s="1294"/>
      <c r="AE1" s="1294"/>
      <c r="AF1" s="1294"/>
      <c r="AG1" s="1294"/>
      <c r="AH1" s="1294"/>
      <c r="AI1" s="1294"/>
      <c r="AJ1" s="1294"/>
      <c r="AK1" s="1294"/>
      <c r="AL1" s="1294"/>
      <c r="AM1" s="1294"/>
      <c r="AN1" s="1294"/>
      <c r="AO1" s="1294"/>
      <c r="AP1" s="300">
        <f>PWSID</f>
        <v>0</v>
      </c>
      <c r="AQ1" s="298" t="str">
        <f>MMYYYY</f>
        <v>05/2025</v>
      </c>
      <c r="AR1" s="862"/>
      <c r="AS1" s="531"/>
      <c r="AT1" s="1294" t="s">
        <v>630</v>
      </c>
      <c r="AU1" s="1294"/>
      <c r="AV1" s="1294"/>
      <c r="AW1" s="1294"/>
      <c r="AX1" s="1294"/>
      <c r="AY1" s="1294"/>
      <c r="AZ1" s="1294"/>
      <c r="BA1" s="1294"/>
      <c r="BB1" s="1294"/>
      <c r="BC1" s="300">
        <f>PWSID</f>
        <v>0</v>
      </c>
      <c r="BD1" s="298" t="str">
        <f>MMYYYY</f>
        <v>05/2025</v>
      </c>
      <c r="BE1" s="847"/>
      <c r="BF1" s="45"/>
      <c r="BG1" s="52"/>
      <c r="BH1" s="45"/>
      <c r="BI1" s="39"/>
      <c r="BJ1" s="49"/>
      <c r="BK1" s="49"/>
      <c r="BL1" s="49"/>
      <c r="BM1" s="39"/>
      <c r="BN1" s="49"/>
      <c r="BO1" s="49"/>
      <c r="BP1" s="49"/>
      <c r="BQ1" s="49"/>
      <c r="BR1" s="49"/>
      <c r="BS1" s="49"/>
      <c r="BT1" s="49"/>
      <c r="BU1" s="49"/>
      <c r="BV1" s="42"/>
      <c r="BW1" s="41"/>
      <c r="BX1" s="55"/>
      <c r="BY1" s="41"/>
      <c r="BZ1" s="41"/>
      <c r="CA1" s="42"/>
      <c r="CB1" s="42"/>
      <c r="CC1" s="41"/>
      <c r="CD1" s="41"/>
      <c r="CE1" s="41"/>
      <c r="CF1" s="41"/>
      <c r="CG1" s="41"/>
      <c r="CH1" s="41"/>
      <c r="CI1" s="41"/>
      <c r="CJ1" s="41"/>
    </row>
    <row r="2" spans="1:88" ht="18" customHeight="1">
      <c r="A2" s="1303" t="s">
        <v>58</v>
      </c>
      <c r="B2" s="1299" t="s">
        <v>139</v>
      </c>
      <c r="C2" s="1309" t="s">
        <v>140</v>
      </c>
      <c r="D2" s="1299" t="s">
        <v>141</v>
      </c>
      <c r="E2" s="1299" t="s">
        <v>142</v>
      </c>
      <c r="F2" s="1299" t="s">
        <v>143</v>
      </c>
      <c r="G2" s="1299" t="s">
        <v>144</v>
      </c>
      <c r="H2" s="1299" t="s">
        <v>145</v>
      </c>
      <c r="I2" s="1299" t="s">
        <v>146</v>
      </c>
      <c r="J2" s="1305" t="s">
        <v>147</v>
      </c>
      <c r="K2" s="858"/>
      <c r="L2" s="1307" t="s">
        <v>58</v>
      </c>
      <c r="M2" s="1298" t="s">
        <v>148</v>
      </c>
      <c r="N2" s="1298"/>
      <c r="O2" s="1298"/>
      <c r="P2" s="1298"/>
      <c r="Q2" s="1298"/>
      <c r="R2" s="1298"/>
      <c r="S2" s="1298"/>
      <c r="T2" s="1298"/>
      <c r="U2" s="1298"/>
      <c r="V2" s="1298"/>
      <c r="W2" s="1298"/>
      <c r="X2" s="1298"/>
      <c r="Y2" s="1298"/>
      <c r="Z2" s="1298"/>
      <c r="AA2" s="1298"/>
      <c r="AB2" s="1298" t="s">
        <v>148</v>
      </c>
      <c r="AC2" s="1298"/>
      <c r="AD2" s="1298"/>
      <c r="AE2" s="1298"/>
      <c r="AF2" s="1298"/>
      <c r="AG2" s="1298"/>
      <c r="AH2" s="1298"/>
      <c r="AI2" s="1298"/>
      <c r="AJ2" s="1298"/>
      <c r="AK2" s="1298"/>
      <c r="AL2" s="1298"/>
      <c r="AM2" s="1298"/>
      <c r="AN2" s="1298"/>
      <c r="AO2" s="1298"/>
      <c r="AP2" s="1298"/>
      <c r="AQ2" s="1301" t="s">
        <v>58</v>
      </c>
      <c r="AR2" s="862"/>
      <c r="AS2" s="1223" t="s">
        <v>58</v>
      </c>
      <c r="AT2" s="1295" t="s">
        <v>149</v>
      </c>
      <c r="AU2" s="1298" t="s">
        <v>150</v>
      </c>
      <c r="AV2" s="1298"/>
      <c r="AW2" s="1298"/>
      <c r="AX2" s="1298"/>
      <c r="AY2" s="1298"/>
      <c r="AZ2" s="1298"/>
      <c r="BA2" s="1298"/>
      <c r="BB2" s="1298"/>
      <c r="BC2" s="1298"/>
      <c r="BD2" s="1298"/>
      <c r="BE2" s="847"/>
      <c r="BF2" s="45"/>
      <c r="BG2" s="52"/>
      <c r="BH2" s="45"/>
      <c r="BI2" s="39"/>
      <c r="BJ2" s="49"/>
      <c r="BK2" s="49"/>
      <c r="BL2" s="49"/>
      <c r="BM2" s="39"/>
      <c r="BN2" s="49"/>
      <c r="BO2" s="49"/>
      <c r="BP2" s="49"/>
      <c r="BQ2" s="49"/>
      <c r="BR2" s="49"/>
      <c r="BS2" s="49"/>
      <c r="BT2" s="49"/>
      <c r="BU2" s="49"/>
      <c r="BV2" s="42"/>
      <c r="BW2" s="41"/>
      <c r="BX2" s="55"/>
      <c r="BY2" s="41"/>
      <c r="BZ2" s="41"/>
      <c r="CA2" s="42"/>
      <c r="CB2" s="42"/>
      <c r="CC2" s="41"/>
      <c r="CD2" s="41"/>
      <c r="CE2" s="41"/>
      <c r="CF2" s="41"/>
      <c r="CG2" s="41"/>
      <c r="CH2" s="41"/>
      <c r="CI2" s="41"/>
      <c r="CJ2" s="41"/>
    </row>
    <row r="3" spans="1:88" ht="21.6" customHeight="1" thickBot="1">
      <c r="A3" s="1304"/>
      <c r="B3" s="1300"/>
      <c r="C3" s="1310"/>
      <c r="D3" s="1300"/>
      <c r="E3" s="1300"/>
      <c r="F3" s="1300"/>
      <c r="G3" s="1300"/>
      <c r="H3" s="1300"/>
      <c r="I3" s="1300"/>
      <c r="J3" s="1306"/>
      <c r="K3" s="859"/>
      <c r="L3" s="1308"/>
      <c r="M3" s="844" t="s">
        <v>151</v>
      </c>
      <c r="N3" s="844" t="s">
        <v>152</v>
      </c>
      <c r="O3" s="844" t="s">
        <v>153</v>
      </c>
      <c r="P3" s="844" t="s">
        <v>154</v>
      </c>
      <c r="Q3" s="844" t="s">
        <v>155</v>
      </c>
      <c r="R3" s="844" t="s">
        <v>156</v>
      </c>
      <c r="S3" s="844" t="s">
        <v>157</v>
      </c>
      <c r="T3" s="844" t="s">
        <v>158</v>
      </c>
      <c r="U3" s="844" t="s">
        <v>159</v>
      </c>
      <c r="V3" s="844" t="s">
        <v>160</v>
      </c>
      <c r="W3" s="844" t="s">
        <v>161</v>
      </c>
      <c r="X3" s="844" t="s">
        <v>162</v>
      </c>
      <c r="Y3" s="844" t="s">
        <v>163</v>
      </c>
      <c r="Z3" s="844" t="s">
        <v>164</v>
      </c>
      <c r="AA3" s="844" t="s">
        <v>165</v>
      </c>
      <c r="AB3" s="844" t="s">
        <v>166</v>
      </c>
      <c r="AC3" s="844" t="s">
        <v>167</v>
      </c>
      <c r="AD3" s="844" t="s">
        <v>168</v>
      </c>
      <c r="AE3" s="844" t="s">
        <v>169</v>
      </c>
      <c r="AF3" s="844" t="s">
        <v>170</v>
      </c>
      <c r="AG3" s="844" t="s">
        <v>171</v>
      </c>
      <c r="AH3" s="844" t="s">
        <v>172</v>
      </c>
      <c r="AI3" s="844" t="s">
        <v>173</v>
      </c>
      <c r="AJ3" s="844" t="s">
        <v>174</v>
      </c>
      <c r="AK3" s="844" t="s">
        <v>175</v>
      </c>
      <c r="AL3" s="844" t="s">
        <v>176</v>
      </c>
      <c r="AM3" s="844" t="s">
        <v>177</v>
      </c>
      <c r="AN3" s="844" t="s">
        <v>178</v>
      </c>
      <c r="AO3" s="844" t="s">
        <v>179</v>
      </c>
      <c r="AP3" s="844" t="s">
        <v>180</v>
      </c>
      <c r="AQ3" s="1302"/>
      <c r="AR3" s="809"/>
      <c r="AS3" s="1297"/>
      <c r="AT3" s="1296"/>
      <c r="AU3" s="845" t="s">
        <v>151</v>
      </c>
      <c r="AV3" s="846" t="s">
        <v>152</v>
      </c>
      <c r="AW3" s="846" t="s">
        <v>153</v>
      </c>
      <c r="AX3" s="846" t="s">
        <v>154</v>
      </c>
      <c r="AY3" s="846" t="s">
        <v>155</v>
      </c>
      <c r="AZ3" s="846" t="s">
        <v>156</v>
      </c>
      <c r="BA3" s="846" t="s">
        <v>157</v>
      </c>
      <c r="BB3" s="846" t="s">
        <v>158</v>
      </c>
      <c r="BC3" s="846" t="s">
        <v>159</v>
      </c>
      <c r="BD3" s="846" t="s">
        <v>160</v>
      </c>
      <c r="BE3" s="848"/>
      <c r="BF3" s="49"/>
      <c r="BG3" s="49"/>
      <c r="BH3" s="49"/>
      <c r="BI3" s="39"/>
      <c r="BJ3" s="45"/>
      <c r="BK3" s="45"/>
      <c r="BL3" s="45"/>
      <c r="BM3" s="44"/>
      <c r="BN3" s="45"/>
      <c r="BO3" s="45"/>
      <c r="BP3" s="45"/>
      <c r="BQ3" s="45"/>
      <c r="BR3" s="45"/>
      <c r="BS3" s="45"/>
      <c r="BT3" s="45"/>
      <c r="BU3" s="45"/>
      <c r="BV3" s="1"/>
      <c r="BW3" s="41"/>
      <c r="BX3" s="55"/>
      <c r="BY3" s="41"/>
      <c r="BZ3" s="41"/>
      <c r="CA3" s="42"/>
      <c r="CB3" s="1"/>
      <c r="CC3" s="46"/>
      <c r="CD3" s="46"/>
      <c r="CE3" s="46"/>
      <c r="CG3" s="41"/>
    </row>
    <row r="4" spans="1:88" ht="19.5" customHeight="1">
      <c r="A4" s="230">
        <v>1</v>
      </c>
      <c r="B4" s="228">
        <f>'P1 Chemicals'!C8</f>
        <v>0</v>
      </c>
      <c r="C4" s="229">
        <f>ROUNDUP(B4/4, 0)</f>
        <v>0</v>
      </c>
      <c r="D4" s="196"/>
      <c r="E4" s="196"/>
      <c r="F4" s="196"/>
      <c r="G4" s="196"/>
      <c r="H4" s="196"/>
      <c r="I4" s="196"/>
      <c r="J4" s="609">
        <f>MAX(D4:I4)</f>
        <v>0</v>
      </c>
      <c r="K4" s="860"/>
      <c r="L4" s="195">
        <v>1</v>
      </c>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576">
        <v>1</v>
      </c>
      <c r="AR4" s="863"/>
      <c r="AS4" s="532">
        <v>1</v>
      </c>
      <c r="AT4" s="616">
        <f>'P2 Water Quality'!M5</f>
        <v>0</v>
      </c>
      <c r="AU4" s="196"/>
      <c r="AV4" s="196"/>
      <c r="AW4" s="196"/>
      <c r="AX4" s="196"/>
      <c r="AY4" s="196"/>
      <c r="AZ4" s="196"/>
      <c r="BA4" s="196"/>
      <c r="BB4" s="196"/>
      <c r="BC4" s="196"/>
      <c r="BD4" s="196"/>
      <c r="BE4" s="849"/>
      <c r="BF4" s="12"/>
      <c r="BG4" s="12"/>
      <c r="BH4" s="12"/>
      <c r="BI4" s="39"/>
      <c r="BJ4" s="45"/>
      <c r="BK4" s="45"/>
      <c r="BL4" s="45"/>
      <c r="BM4" s="44"/>
      <c r="BN4" s="51"/>
      <c r="BO4" s="49"/>
      <c r="BP4" s="51"/>
      <c r="BQ4" s="49"/>
      <c r="BR4" s="51"/>
      <c r="BS4" s="49"/>
      <c r="BT4" s="51"/>
      <c r="BU4" s="49"/>
      <c r="BV4" s="1"/>
      <c r="BW4" s="41"/>
      <c r="BX4" s="55"/>
      <c r="BY4" s="41"/>
      <c r="BZ4" s="41"/>
      <c r="CA4" s="42"/>
      <c r="CB4" s="1"/>
      <c r="CC4" s="46"/>
      <c r="CD4" s="46"/>
      <c r="CE4" s="46"/>
      <c r="CG4" s="41"/>
    </row>
    <row r="5" spans="1:88" ht="19.5" customHeight="1">
      <c r="A5" s="230">
        <v>2</v>
      </c>
      <c r="B5" s="228">
        <f>'P1 Chemicals'!C9</f>
        <v>0</v>
      </c>
      <c r="C5" s="229">
        <f t="shared" ref="C5:C31" si="0">ROUNDUP(B5/4, 0)</f>
        <v>0</v>
      </c>
      <c r="D5" s="196"/>
      <c r="E5" s="209"/>
      <c r="F5" s="209"/>
      <c r="G5" s="196"/>
      <c r="H5" s="209"/>
      <c r="I5" s="610"/>
      <c r="J5" s="611">
        <f>MAX(D5:I5)</f>
        <v>0</v>
      </c>
      <c r="K5" s="861"/>
      <c r="L5" s="195">
        <v>2</v>
      </c>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577">
        <v>2</v>
      </c>
      <c r="AR5" s="863"/>
      <c r="AS5" s="532">
        <v>2</v>
      </c>
      <c r="AT5" s="616">
        <f>'P2 Water Quality'!M6</f>
        <v>0</v>
      </c>
      <c r="AU5" s="196"/>
      <c r="AV5" s="196"/>
      <c r="AW5" s="196"/>
      <c r="AX5" s="196"/>
      <c r="AY5" s="196"/>
      <c r="AZ5" s="196"/>
      <c r="BA5" s="196"/>
      <c r="BB5" s="196"/>
      <c r="BC5" s="196"/>
      <c r="BD5" s="196"/>
      <c r="BE5" s="850"/>
      <c r="BF5" s="58"/>
      <c r="BG5" s="58"/>
      <c r="BH5" s="58"/>
      <c r="BI5" s="39"/>
      <c r="BJ5" s="39"/>
      <c r="BK5" s="39"/>
      <c r="BL5" s="39"/>
      <c r="BM5" s="39"/>
      <c r="BN5" s="52"/>
      <c r="BO5" s="52"/>
      <c r="BP5" s="52"/>
      <c r="BQ5" s="52"/>
      <c r="BR5" s="52"/>
      <c r="BS5" s="52"/>
      <c r="BT5" s="52"/>
      <c r="BU5" s="52"/>
      <c r="BV5" s="1"/>
      <c r="BW5" s="41"/>
      <c r="BX5" s="41"/>
      <c r="BY5" s="41"/>
      <c r="BZ5" s="41"/>
      <c r="CA5" s="1"/>
      <c r="CB5" s="42"/>
      <c r="CC5" s="41"/>
      <c r="CD5" s="41"/>
      <c r="CF5" s="41"/>
      <c r="CG5" s="41"/>
    </row>
    <row r="6" spans="1:88" ht="19.5" customHeight="1">
      <c r="A6" s="231">
        <v>3</v>
      </c>
      <c r="B6" s="228">
        <f>'P1 Chemicals'!C10</f>
        <v>0</v>
      </c>
      <c r="C6" s="229">
        <f t="shared" si="0"/>
        <v>0</v>
      </c>
      <c r="D6" s="196"/>
      <c r="E6" s="209"/>
      <c r="F6" s="209"/>
      <c r="G6" s="209"/>
      <c r="H6" s="209"/>
      <c r="I6" s="209"/>
      <c r="J6" s="611">
        <f>MAX(D6:I6)</f>
        <v>0</v>
      </c>
      <c r="K6" s="861"/>
      <c r="L6" s="195">
        <v>3</v>
      </c>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577">
        <v>3</v>
      </c>
      <c r="AR6" s="863"/>
      <c r="AS6" s="532">
        <v>3</v>
      </c>
      <c r="AT6" s="616">
        <f>'P2 Water Quality'!M7</f>
        <v>0</v>
      </c>
      <c r="AU6" s="196"/>
      <c r="AV6" s="196"/>
      <c r="AW6" s="196"/>
      <c r="AX6" s="196"/>
      <c r="AY6" s="196"/>
      <c r="AZ6" s="196"/>
      <c r="BA6" s="196"/>
      <c r="BB6" s="196"/>
      <c r="BC6" s="196"/>
      <c r="BD6" s="196"/>
      <c r="BE6" s="850"/>
      <c r="BF6" s="58"/>
      <c r="BG6" s="58"/>
      <c r="BH6" s="58"/>
      <c r="BI6" s="12"/>
      <c r="BJ6" s="45"/>
      <c r="BK6" s="45"/>
      <c r="BL6" s="45"/>
      <c r="BM6" s="45"/>
      <c r="BN6" s="45"/>
      <c r="BO6" s="45"/>
      <c r="BP6" s="45"/>
      <c r="BQ6" s="45"/>
      <c r="BR6" s="45"/>
      <c r="BS6" s="45"/>
      <c r="BT6" s="45"/>
      <c r="BU6" s="45"/>
      <c r="BV6" s="1"/>
      <c r="BX6" s="62"/>
      <c r="BY6" s="62"/>
      <c r="CA6" s="2"/>
      <c r="CB6" s="55"/>
      <c r="CC6" s="41"/>
      <c r="CD6" s="41"/>
      <c r="CF6" s="41"/>
      <c r="CG6" s="41"/>
    </row>
    <row r="7" spans="1:88" ht="19.5" customHeight="1">
      <c r="A7" s="231">
        <v>4</v>
      </c>
      <c r="B7" s="228">
        <f>'P1 Chemicals'!C11</f>
        <v>0</v>
      </c>
      <c r="C7" s="229">
        <f t="shared" si="0"/>
        <v>0</v>
      </c>
      <c r="D7" s="196"/>
      <c r="E7" s="209"/>
      <c r="F7" s="209"/>
      <c r="G7" s="209"/>
      <c r="H7" s="209"/>
      <c r="I7" s="209"/>
      <c r="J7" s="611">
        <f>MAX(D7:I7)</f>
        <v>0</v>
      </c>
      <c r="K7" s="861"/>
      <c r="L7" s="195">
        <v>4</v>
      </c>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577">
        <v>4</v>
      </c>
      <c r="AR7" s="863"/>
      <c r="AS7" s="532">
        <v>4</v>
      </c>
      <c r="AT7" s="616">
        <f>'P2 Water Quality'!M8</f>
        <v>0</v>
      </c>
      <c r="AU7" s="196"/>
      <c r="AV7" s="196"/>
      <c r="AW7" s="196"/>
      <c r="AX7" s="196"/>
      <c r="AY7" s="196"/>
      <c r="AZ7" s="196"/>
      <c r="BA7" s="196"/>
      <c r="BB7" s="196"/>
      <c r="BC7" s="196"/>
      <c r="BD7" s="196"/>
      <c r="BE7" s="850"/>
      <c r="BF7" s="58"/>
      <c r="BG7" s="58"/>
      <c r="BH7" s="58"/>
      <c r="BI7" s="12"/>
      <c r="BJ7" s="59"/>
      <c r="BK7" s="59"/>
      <c r="BL7" s="59"/>
      <c r="BM7" s="59"/>
      <c r="BN7" s="60"/>
      <c r="BO7" s="60"/>
      <c r="BP7" s="60"/>
      <c r="BQ7" s="60"/>
      <c r="BR7" s="60"/>
      <c r="BS7" s="60"/>
      <c r="BT7" s="60"/>
      <c r="BU7" s="60"/>
      <c r="BV7" s="3"/>
      <c r="BW7" s="41"/>
      <c r="BX7" s="63"/>
      <c r="BY7" s="63"/>
      <c r="BZ7" s="41"/>
      <c r="CA7" s="2"/>
      <c r="CB7" s="55"/>
      <c r="CC7" s="41"/>
      <c r="CD7" s="41"/>
      <c r="CF7" s="41"/>
      <c r="CG7" s="41"/>
    </row>
    <row r="8" spans="1:88" ht="19.5" customHeight="1">
      <c r="A8" s="231">
        <v>5</v>
      </c>
      <c r="B8" s="228">
        <f>'P1 Chemicals'!C12</f>
        <v>0</v>
      </c>
      <c r="C8" s="229">
        <f t="shared" si="0"/>
        <v>0</v>
      </c>
      <c r="D8" s="196"/>
      <c r="E8" s="209"/>
      <c r="F8" s="209"/>
      <c r="G8" s="209"/>
      <c r="H8" s="209"/>
      <c r="I8" s="612"/>
      <c r="J8" s="611">
        <f t="shared" ref="J8:J31" si="1">MAX(D8:I8)</f>
        <v>0</v>
      </c>
      <c r="K8" s="861"/>
      <c r="L8" s="195">
        <v>5</v>
      </c>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577">
        <v>5</v>
      </c>
      <c r="AR8" s="863"/>
      <c r="AS8" s="532">
        <v>5</v>
      </c>
      <c r="AT8" s="616">
        <f>'P2 Water Quality'!M9</f>
        <v>0</v>
      </c>
      <c r="AU8" s="196"/>
      <c r="AV8" s="196"/>
      <c r="AW8" s="196"/>
      <c r="AX8" s="196"/>
      <c r="AY8" s="196"/>
      <c r="AZ8" s="196"/>
      <c r="BA8" s="196"/>
      <c r="BB8" s="196"/>
      <c r="BC8" s="196"/>
      <c r="BD8" s="196"/>
      <c r="BE8" s="850"/>
      <c r="BF8" s="58"/>
      <c r="BG8" s="58"/>
      <c r="BH8" s="58"/>
      <c r="BI8" s="12"/>
      <c r="BJ8" s="59"/>
      <c r="BK8" s="59"/>
      <c r="BL8" s="59"/>
      <c r="BM8" s="59"/>
      <c r="BN8" s="60"/>
      <c r="BO8" s="60"/>
      <c r="BP8" s="60"/>
      <c r="BQ8" s="60"/>
      <c r="BR8" s="60"/>
      <c r="BS8" s="60"/>
      <c r="BT8" s="60"/>
      <c r="BU8" s="60"/>
      <c r="BV8" s="3"/>
      <c r="BW8" s="41"/>
      <c r="BX8" s="63"/>
      <c r="BY8" s="63"/>
      <c r="BZ8" s="41"/>
      <c r="CA8" s="2"/>
      <c r="CB8" s="55"/>
      <c r="CC8" s="41"/>
      <c r="CD8" s="41"/>
      <c r="CF8" s="41"/>
      <c r="CG8" s="41"/>
    </row>
    <row r="9" spans="1:88" ht="19.5" customHeight="1">
      <c r="A9" s="231">
        <v>6</v>
      </c>
      <c r="B9" s="228">
        <f>'P1 Chemicals'!C13</f>
        <v>0</v>
      </c>
      <c r="C9" s="229">
        <f t="shared" si="0"/>
        <v>0</v>
      </c>
      <c r="D9" s="196"/>
      <c r="E9" s="209"/>
      <c r="F9" s="209"/>
      <c r="G9" s="209"/>
      <c r="H9" s="209"/>
      <c r="I9" s="612"/>
      <c r="J9" s="611">
        <f t="shared" si="1"/>
        <v>0</v>
      </c>
      <c r="K9" s="861"/>
      <c r="L9" s="195">
        <v>6</v>
      </c>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577">
        <v>6</v>
      </c>
      <c r="AR9" s="863"/>
      <c r="AS9" s="532">
        <v>6</v>
      </c>
      <c r="AT9" s="616">
        <f>'P2 Water Quality'!M10</f>
        <v>0</v>
      </c>
      <c r="AU9" s="196"/>
      <c r="AV9" s="196"/>
      <c r="AW9" s="196"/>
      <c r="AX9" s="196"/>
      <c r="AY9" s="196"/>
      <c r="AZ9" s="196"/>
      <c r="BA9" s="196"/>
      <c r="BB9" s="196"/>
      <c r="BC9" s="196"/>
      <c r="BD9" s="196"/>
      <c r="BE9" s="850"/>
      <c r="BF9" s="58"/>
      <c r="BG9" s="58"/>
      <c r="BH9" s="58"/>
      <c r="BI9" s="12"/>
      <c r="BJ9" s="59"/>
      <c r="BK9" s="59"/>
      <c r="BL9" s="59"/>
      <c r="BM9" s="59"/>
      <c r="BN9" s="60"/>
      <c r="BO9" s="60"/>
      <c r="BP9" s="60"/>
      <c r="BQ9" s="60"/>
      <c r="BR9" s="60"/>
      <c r="BS9" s="60"/>
      <c r="BT9" s="60"/>
      <c r="BU9" s="60"/>
      <c r="BV9" s="3"/>
      <c r="BW9" s="41"/>
      <c r="BX9" s="63"/>
      <c r="BY9" s="63"/>
      <c r="BZ9" s="41"/>
      <c r="CA9" s="2"/>
      <c r="CB9" s="55"/>
      <c r="CC9" s="41"/>
      <c r="CD9" s="41"/>
      <c r="CE9" s="41"/>
      <c r="CF9" s="41"/>
      <c r="CG9" s="41"/>
      <c r="CI9" s="2"/>
      <c r="CJ9" s="41"/>
    </row>
    <row r="10" spans="1:88" ht="19.5" customHeight="1">
      <c r="A10" s="231">
        <v>7</v>
      </c>
      <c r="B10" s="228">
        <f>'P1 Chemicals'!C14</f>
        <v>0</v>
      </c>
      <c r="C10" s="229">
        <f t="shared" si="0"/>
        <v>0</v>
      </c>
      <c r="D10" s="196"/>
      <c r="E10" s="209"/>
      <c r="F10" s="209"/>
      <c r="G10" s="209"/>
      <c r="H10" s="209"/>
      <c r="I10" s="612"/>
      <c r="J10" s="611">
        <f t="shared" si="1"/>
        <v>0</v>
      </c>
      <c r="K10" s="861"/>
      <c r="L10" s="195">
        <v>7</v>
      </c>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577">
        <v>7</v>
      </c>
      <c r="AR10" s="863"/>
      <c r="AS10" s="532">
        <v>7</v>
      </c>
      <c r="AT10" s="616">
        <f>'P2 Water Quality'!M11</f>
        <v>0</v>
      </c>
      <c r="AU10" s="196"/>
      <c r="AV10" s="196"/>
      <c r="AW10" s="196"/>
      <c r="AX10" s="196"/>
      <c r="AY10" s="196"/>
      <c r="AZ10" s="196"/>
      <c r="BA10" s="196"/>
      <c r="BB10" s="196"/>
      <c r="BC10" s="196"/>
      <c r="BD10" s="196"/>
      <c r="BE10" s="850"/>
      <c r="BF10" s="58"/>
      <c r="BG10" s="58"/>
      <c r="BH10" s="58"/>
      <c r="BI10" s="12"/>
      <c r="BJ10" s="59"/>
      <c r="BK10" s="59"/>
      <c r="BL10" s="59"/>
      <c r="BM10" s="59"/>
      <c r="BN10" s="60"/>
      <c r="BO10" s="60"/>
      <c r="BP10" s="60"/>
      <c r="BQ10" s="60"/>
      <c r="BR10" s="60"/>
      <c r="BS10" s="60"/>
      <c r="BT10" s="60"/>
      <c r="BU10" s="60"/>
      <c r="BV10" s="35"/>
      <c r="BW10" s="41"/>
      <c r="BX10" s="41"/>
      <c r="BY10" s="41"/>
      <c r="BZ10" s="41"/>
      <c r="CA10" s="41"/>
      <c r="CB10" s="41"/>
      <c r="CC10" s="41"/>
      <c r="CD10" s="41"/>
      <c r="CE10" s="41"/>
      <c r="CF10" s="41"/>
      <c r="CG10" s="41"/>
      <c r="CI10" s="2"/>
      <c r="CJ10" s="41"/>
    </row>
    <row r="11" spans="1:88" ht="19.5" customHeight="1">
      <c r="A11" s="231">
        <v>8</v>
      </c>
      <c r="B11" s="228">
        <f>'P1 Chemicals'!C15</f>
        <v>0</v>
      </c>
      <c r="C11" s="229">
        <f t="shared" si="0"/>
        <v>0</v>
      </c>
      <c r="D11" s="196"/>
      <c r="E11" s="209"/>
      <c r="F11" s="209"/>
      <c r="G11" s="209"/>
      <c r="H11" s="209"/>
      <c r="I11" s="209"/>
      <c r="J11" s="611">
        <f t="shared" si="1"/>
        <v>0</v>
      </c>
      <c r="K11" s="861"/>
      <c r="L11" s="195">
        <v>8</v>
      </c>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577">
        <v>8</v>
      </c>
      <c r="AR11" s="863"/>
      <c r="AS11" s="532">
        <v>8</v>
      </c>
      <c r="AT11" s="616">
        <f>'P2 Water Quality'!M12</f>
        <v>0</v>
      </c>
      <c r="AU11" s="196"/>
      <c r="AV11" s="196"/>
      <c r="AW11" s="196"/>
      <c r="AX11" s="196"/>
      <c r="AY11" s="196"/>
      <c r="AZ11" s="196"/>
      <c r="BA11" s="196"/>
      <c r="BB11" s="196"/>
      <c r="BC11" s="196"/>
      <c r="BD11" s="196"/>
      <c r="BE11" s="850"/>
      <c r="BF11" s="58"/>
      <c r="BG11" s="58"/>
      <c r="BH11" s="58"/>
      <c r="BI11" s="12"/>
      <c r="BJ11" s="59"/>
      <c r="BK11" s="59"/>
      <c r="BL11" s="59"/>
      <c r="BM11" s="59"/>
      <c r="BN11" s="60"/>
      <c r="BO11" s="60"/>
      <c r="BP11" s="60"/>
      <c r="BQ11" s="60"/>
      <c r="BR11" s="60"/>
      <c r="BS11" s="60"/>
      <c r="BT11" s="60"/>
      <c r="BU11" s="60"/>
      <c r="BV11" s="64"/>
      <c r="BW11" s="41"/>
      <c r="BX11" s="41"/>
      <c r="BY11" s="41"/>
      <c r="BZ11" s="41"/>
      <c r="CA11" s="41"/>
      <c r="CB11" s="41"/>
      <c r="CC11" s="41"/>
      <c r="CD11" s="41"/>
      <c r="CE11" s="41"/>
      <c r="CF11" s="41"/>
      <c r="CG11" s="41"/>
      <c r="CI11" s="41"/>
      <c r="CJ11" s="41"/>
    </row>
    <row r="12" spans="1:88" ht="19.5" customHeight="1">
      <c r="A12" s="231">
        <v>9</v>
      </c>
      <c r="B12" s="228">
        <f>'P1 Chemicals'!C16</f>
        <v>0</v>
      </c>
      <c r="C12" s="229">
        <f t="shared" si="0"/>
        <v>0</v>
      </c>
      <c r="D12" s="196"/>
      <c r="E12" s="209"/>
      <c r="F12" s="209"/>
      <c r="G12" s="209"/>
      <c r="H12" s="209"/>
      <c r="I12" s="209"/>
      <c r="J12" s="611">
        <f>MAX(D12:I12)</f>
        <v>0</v>
      </c>
      <c r="K12" s="861"/>
      <c r="L12" s="195">
        <v>9</v>
      </c>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577">
        <v>9</v>
      </c>
      <c r="AR12" s="863"/>
      <c r="AS12" s="532">
        <v>9</v>
      </c>
      <c r="AT12" s="616">
        <f>'P2 Water Quality'!M13</f>
        <v>0</v>
      </c>
      <c r="AU12" s="196"/>
      <c r="AV12" s="196"/>
      <c r="AW12" s="196"/>
      <c r="AX12" s="196"/>
      <c r="AY12" s="196"/>
      <c r="AZ12" s="196"/>
      <c r="BA12" s="196"/>
      <c r="BB12" s="196"/>
      <c r="BC12" s="196"/>
      <c r="BD12" s="196"/>
      <c r="BE12" s="850"/>
      <c r="BF12" s="58"/>
      <c r="BG12" s="58"/>
      <c r="BH12" s="58"/>
      <c r="BI12" s="12"/>
      <c r="BJ12" s="59"/>
      <c r="BK12" s="59"/>
      <c r="BL12" s="59"/>
      <c r="BM12" s="59"/>
      <c r="BN12" s="60"/>
      <c r="BO12" s="60"/>
      <c r="BP12" s="60"/>
      <c r="BQ12" s="60"/>
      <c r="BR12" s="60"/>
      <c r="BS12" s="60"/>
      <c r="BT12" s="60"/>
      <c r="BU12" s="60"/>
      <c r="BV12" s="1"/>
      <c r="BW12" s="41"/>
      <c r="BX12" s="41"/>
      <c r="BY12" s="41"/>
      <c r="BZ12" s="46"/>
      <c r="CA12" s="46"/>
      <c r="CB12" s="46"/>
      <c r="CC12" s="41"/>
      <c r="CD12" s="41"/>
      <c r="CE12" s="41"/>
      <c r="CI12" s="2"/>
      <c r="CJ12" s="41"/>
    </row>
    <row r="13" spans="1:88" ht="19.5" customHeight="1">
      <c r="A13" s="230">
        <v>10</v>
      </c>
      <c r="B13" s="228">
        <f>'P1 Chemicals'!C17</f>
        <v>0</v>
      </c>
      <c r="C13" s="229">
        <f t="shared" si="0"/>
        <v>0</v>
      </c>
      <c r="D13" s="196"/>
      <c r="E13" s="196"/>
      <c r="F13" s="209"/>
      <c r="G13" s="196"/>
      <c r="H13" s="209"/>
      <c r="I13" s="610"/>
      <c r="J13" s="611">
        <f t="shared" si="1"/>
        <v>0</v>
      </c>
      <c r="K13" s="861"/>
      <c r="L13" s="195">
        <v>10</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577">
        <v>10</v>
      </c>
      <c r="AR13" s="863"/>
      <c r="AS13" s="532">
        <v>10</v>
      </c>
      <c r="AT13" s="616">
        <f>'P2 Water Quality'!M14</f>
        <v>0</v>
      </c>
      <c r="AU13" s="196"/>
      <c r="AV13" s="196"/>
      <c r="AW13" s="196"/>
      <c r="AX13" s="196"/>
      <c r="AY13" s="196"/>
      <c r="AZ13" s="196"/>
      <c r="BA13" s="196"/>
      <c r="BB13" s="196"/>
      <c r="BC13" s="196"/>
      <c r="BD13" s="196"/>
      <c r="BE13" s="850"/>
      <c r="BF13" s="58"/>
      <c r="BG13" s="58"/>
      <c r="BH13" s="58"/>
      <c r="BI13" s="12"/>
      <c r="BJ13" s="59"/>
      <c r="BK13" s="59"/>
      <c r="BL13" s="59"/>
      <c r="BM13" s="59"/>
      <c r="BN13" s="60"/>
      <c r="BO13" s="60"/>
      <c r="BP13" s="60"/>
      <c r="BQ13" s="60"/>
      <c r="BR13" s="60"/>
      <c r="BS13" s="60"/>
      <c r="BT13" s="60"/>
      <c r="BU13" s="60"/>
      <c r="BV13" s="1"/>
      <c r="BW13" s="41"/>
      <c r="BX13" s="41"/>
      <c r="BY13" s="41"/>
      <c r="BZ13" s="46"/>
      <c r="CA13" s="46"/>
      <c r="CB13" s="46"/>
      <c r="CC13" s="41"/>
      <c r="CD13" s="41"/>
      <c r="CE13" s="41"/>
      <c r="CI13" s="2"/>
      <c r="CJ13" s="41"/>
    </row>
    <row r="14" spans="1:88" ht="19.5" customHeight="1">
      <c r="A14" s="231">
        <v>11</v>
      </c>
      <c r="B14" s="228">
        <f>'P1 Chemicals'!C18</f>
        <v>0</v>
      </c>
      <c r="C14" s="229">
        <f t="shared" si="0"/>
        <v>0</v>
      </c>
      <c r="D14" s="196"/>
      <c r="E14" s="209"/>
      <c r="F14" s="209"/>
      <c r="G14" s="209"/>
      <c r="H14" s="209"/>
      <c r="I14" s="209"/>
      <c r="J14" s="611">
        <f t="shared" si="1"/>
        <v>0</v>
      </c>
      <c r="K14" s="861"/>
      <c r="L14" s="195">
        <v>11</v>
      </c>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577">
        <v>11</v>
      </c>
      <c r="AR14" s="863"/>
      <c r="AS14" s="532">
        <v>11</v>
      </c>
      <c r="AT14" s="616">
        <f>'P2 Water Quality'!M15</f>
        <v>0</v>
      </c>
      <c r="AU14" s="196"/>
      <c r="AV14" s="196"/>
      <c r="AW14" s="196"/>
      <c r="AX14" s="196"/>
      <c r="AY14" s="196"/>
      <c r="AZ14" s="196"/>
      <c r="BA14" s="196"/>
      <c r="BB14" s="196"/>
      <c r="BC14" s="196"/>
      <c r="BD14" s="196"/>
      <c r="BE14" s="850"/>
      <c r="BF14" s="58"/>
      <c r="BG14" s="58"/>
      <c r="BH14" s="58"/>
      <c r="BI14" s="12"/>
      <c r="BJ14" s="59"/>
      <c r="BK14" s="59"/>
      <c r="BL14" s="59"/>
      <c r="BM14" s="59"/>
      <c r="BN14" s="60"/>
      <c r="BO14" s="60"/>
      <c r="BP14" s="60"/>
      <c r="BQ14" s="60"/>
      <c r="BR14" s="60"/>
      <c r="BS14" s="60"/>
      <c r="BT14" s="60"/>
      <c r="BU14" s="60"/>
      <c r="BV14" s="1"/>
      <c r="BW14" s="41"/>
      <c r="BX14" s="41"/>
      <c r="BY14" s="41"/>
      <c r="BZ14" s="46"/>
      <c r="CA14" s="46"/>
      <c r="CB14" s="46"/>
      <c r="CC14" s="41"/>
      <c r="CD14" s="41"/>
      <c r="CE14" s="41"/>
      <c r="CI14" s="2"/>
      <c r="CJ14" s="41"/>
    </row>
    <row r="15" spans="1:88" ht="19.5" customHeight="1">
      <c r="A15" s="231">
        <v>12</v>
      </c>
      <c r="B15" s="228">
        <f>'P1 Chemicals'!C19</f>
        <v>0</v>
      </c>
      <c r="C15" s="229">
        <f t="shared" si="0"/>
        <v>0</v>
      </c>
      <c r="D15" s="196"/>
      <c r="E15" s="209"/>
      <c r="F15" s="209"/>
      <c r="G15" s="209"/>
      <c r="H15" s="209"/>
      <c r="I15" s="612"/>
      <c r="J15" s="611">
        <f t="shared" si="1"/>
        <v>0</v>
      </c>
      <c r="K15" s="861"/>
      <c r="L15" s="195">
        <v>12</v>
      </c>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577">
        <v>12</v>
      </c>
      <c r="AR15" s="863"/>
      <c r="AS15" s="532">
        <v>12</v>
      </c>
      <c r="AT15" s="616">
        <f>'P2 Water Quality'!M16</f>
        <v>0</v>
      </c>
      <c r="AU15" s="196"/>
      <c r="AV15" s="196"/>
      <c r="AW15" s="196"/>
      <c r="AX15" s="196"/>
      <c r="AY15" s="196"/>
      <c r="AZ15" s="196"/>
      <c r="BA15" s="196"/>
      <c r="BB15" s="196"/>
      <c r="BC15" s="196"/>
      <c r="BD15" s="196"/>
      <c r="BE15" s="850"/>
      <c r="BF15" s="58"/>
      <c r="BG15" s="58"/>
      <c r="BH15" s="58"/>
      <c r="BI15" s="12"/>
      <c r="BJ15" s="59"/>
      <c r="BK15" s="59"/>
      <c r="BL15" s="59"/>
      <c r="BM15" s="59"/>
      <c r="BN15" s="60"/>
      <c r="BO15" s="60"/>
      <c r="BP15" s="60"/>
      <c r="BQ15" s="60"/>
      <c r="BR15" s="60"/>
      <c r="BS15" s="60"/>
      <c r="BT15" s="60"/>
      <c r="BU15" s="60"/>
      <c r="BV15" s="1"/>
      <c r="BW15" s="41"/>
      <c r="BX15" s="41"/>
      <c r="BY15" s="41"/>
      <c r="BZ15" s="46"/>
      <c r="CA15" s="46"/>
      <c r="CB15" s="46"/>
      <c r="CC15" s="41"/>
      <c r="CD15" s="41"/>
      <c r="CE15" s="41"/>
      <c r="CI15" s="2"/>
      <c r="CJ15" s="41"/>
    </row>
    <row r="16" spans="1:88" ht="19.5" customHeight="1">
      <c r="A16" s="231">
        <v>13</v>
      </c>
      <c r="B16" s="228">
        <f>'P1 Chemicals'!C20</f>
        <v>0</v>
      </c>
      <c r="C16" s="229">
        <f t="shared" si="0"/>
        <v>0</v>
      </c>
      <c r="D16" s="196"/>
      <c r="E16" s="209"/>
      <c r="F16" s="209"/>
      <c r="G16" s="209"/>
      <c r="H16" s="209"/>
      <c r="I16" s="612"/>
      <c r="J16" s="611">
        <f t="shared" si="1"/>
        <v>0</v>
      </c>
      <c r="K16" s="861"/>
      <c r="L16" s="195">
        <v>13</v>
      </c>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577">
        <v>13</v>
      </c>
      <c r="AR16" s="863"/>
      <c r="AS16" s="532">
        <v>13</v>
      </c>
      <c r="AT16" s="616">
        <f>'P2 Water Quality'!M17</f>
        <v>0</v>
      </c>
      <c r="AU16" s="196"/>
      <c r="AV16" s="196"/>
      <c r="AW16" s="196"/>
      <c r="AX16" s="196"/>
      <c r="AY16" s="196"/>
      <c r="AZ16" s="196"/>
      <c r="BA16" s="196"/>
      <c r="BB16" s="196"/>
      <c r="BC16" s="196"/>
      <c r="BD16" s="196"/>
      <c r="BE16" s="850"/>
      <c r="BF16" s="58"/>
      <c r="BG16" s="58"/>
      <c r="BH16" s="58"/>
      <c r="BI16" s="12"/>
      <c r="BJ16" s="59"/>
      <c r="BK16" s="59"/>
      <c r="BL16" s="59"/>
      <c r="BM16" s="59"/>
      <c r="BN16" s="60"/>
      <c r="BO16" s="60"/>
      <c r="BP16" s="60"/>
      <c r="BQ16" s="60"/>
      <c r="BR16" s="60"/>
      <c r="BS16" s="60"/>
      <c r="BT16" s="60"/>
      <c r="BU16" s="60"/>
      <c r="BV16" s="1"/>
      <c r="BW16" s="41"/>
      <c r="BX16" s="41"/>
      <c r="BY16" s="41"/>
      <c r="BZ16" s="46"/>
      <c r="CA16" s="46"/>
      <c r="CB16" s="46"/>
      <c r="CC16" s="41"/>
      <c r="CD16" s="41"/>
      <c r="CE16" s="41"/>
      <c r="CI16" s="2"/>
      <c r="CJ16" s="41"/>
    </row>
    <row r="17" spans="1:88" ht="19.5" customHeight="1">
      <c r="A17" s="231">
        <v>14</v>
      </c>
      <c r="B17" s="228">
        <f>'P1 Chemicals'!C21</f>
        <v>0</v>
      </c>
      <c r="C17" s="229">
        <f t="shared" si="0"/>
        <v>0</v>
      </c>
      <c r="D17" s="196"/>
      <c r="E17" s="209"/>
      <c r="F17" s="209"/>
      <c r="G17" s="196"/>
      <c r="H17" s="209"/>
      <c r="I17" s="612"/>
      <c r="J17" s="611">
        <f t="shared" si="1"/>
        <v>0</v>
      </c>
      <c r="K17" s="861"/>
      <c r="L17" s="195">
        <v>14</v>
      </c>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577">
        <v>14</v>
      </c>
      <c r="AR17" s="863"/>
      <c r="AS17" s="532">
        <v>14</v>
      </c>
      <c r="AT17" s="616">
        <f>'P2 Water Quality'!M18</f>
        <v>0</v>
      </c>
      <c r="AU17" s="196"/>
      <c r="AV17" s="196"/>
      <c r="AW17" s="196"/>
      <c r="AX17" s="196"/>
      <c r="AY17" s="196"/>
      <c r="AZ17" s="196"/>
      <c r="BA17" s="196"/>
      <c r="BB17" s="196"/>
      <c r="BC17" s="196"/>
      <c r="BD17" s="196"/>
      <c r="BE17" s="850"/>
      <c r="BF17" s="58"/>
      <c r="BG17" s="58"/>
      <c r="BH17" s="58"/>
      <c r="BI17" s="12"/>
      <c r="BJ17" s="59"/>
      <c r="BK17" s="59"/>
      <c r="BL17" s="59"/>
      <c r="BM17" s="59"/>
      <c r="BN17" s="60"/>
      <c r="BO17" s="60"/>
      <c r="BP17" s="60"/>
      <c r="BQ17" s="60"/>
      <c r="BR17" s="60"/>
      <c r="BS17" s="60"/>
      <c r="BT17" s="60"/>
      <c r="BU17" s="60"/>
      <c r="BV17" s="41"/>
      <c r="BW17" s="41"/>
      <c r="BX17" s="41"/>
      <c r="BY17" s="41"/>
      <c r="BZ17" s="46"/>
      <c r="CA17" s="46"/>
      <c r="CB17" s="46"/>
      <c r="CC17" s="41"/>
      <c r="CD17" s="41"/>
      <c r="CE17" s="41"/>
      <c r="CI17" s="2"/>
      <c r="CJ17" s="41"/>
    </row>
    <row r="18" spans="1:88" ht="19.5" customHeight="1">
      <c r="A18" s="230">
        <v>15</v>
      </c>
      <c r="B18" s="228">
        <f>'P1 Chemicals'!C22</f>
        <v>0</v>
      </c>
      <c r="C18" s="229">
        <f t="shared" si="0"/>
        <v>0</v>
      </c>
      <c r="D18" s="196"/>
      <c r="E18" s="196"/>
      <c r="F18" s="209"/>
      <c r="G18" s="209"/>
      <c r="H18" s="196"/>
      <c r="I18" s="209"/>
      <c r="J18" s="611">
        <f t="shared" si="1"/>
        <v>0</v>
      </c>
      <c r="K18" s="861"/>
      <c r="L18" s="195">
        <v>15</v>
      </c>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577">
        <v>15</v>
      </c>
      <c r="AR18" s="863"/>
      <c r="AS18" s="532">
        <v>15</v>
      </c>
      <c r="AT18" s="616">
        <f>'P2 Water Quality'!M19</f>
        <v>0</v>
      </c>
      <c r="AU18" s="196"/>
      <c r="AV18" s="196"/>
      <c r="AW18" s="196"/>
      <c r="AX18" s="196"/>
      <c r="AY18" s="196"/>
      <c r="AZ18" s="196"/>
      <c r="BA18" s="196"/>
      <c r="BB18" s="196"/>
      <c r="BC18" s="196"/>
      <c r="BD18" s="196"/>
      <c r="BE18" s="850"/>
      <c r="BF18" s="58"/>
      <c r="BG18" s="58"/>
      <c r="BH18" s="58"/>
      <c r="BI18" s="12"/>
      <c r="BJ18" s="59"/>
      <c r="BK18" s="59"/>
      <c r="BL18" s="59"/>
      <c r="BM18" s="59"/>
      <c r="BN18" s="60"/>
      <c r="BO18" s="60"/>
      <c r="BP18" s="60"/>
      <c r="BQ18" s="60"/>
      <c r="BR18" s="60"/>
      <c r="BS18" s="60"/>
      <c r="BT18" s="60"/>
      <c r="BU18" s="60"/>
      <c r="BV18" s="42"/>
      <c r="BW18" s="41"/>
      <c r="BX18" s="41"/>
      <c r="BY18" s="41"/>
      <c r="BZ18" s="46"/>
      <c r="CA18" s="46"/>
      <c r="CB18" s="46"/>
      <c r="CC18" s="41"/>
      <c r="CD18" s="41"/>
      <c r="CE18" s="41"/>
      <c r="CI18" s="2"/>
      <c r="CJ18" s="41"/>
    </row>
    <row r="19" spans="1:88" ht="19.5" customHeight="1">
      <c r="A19" s="231">
        <v>16</v>
      </c>
      <c r="B19" s="228">
        <f>'P1 Chemicals'!C23</f>
        <v>0</v>
      </c>
      <c r="C19" s="229">
        <f t="shared" si="0"/>
        <v>0</v>
      </c>
      <c r="D19" s="196"/>
      <c r="E19" s="209"/>
      <c r="F19" s="196"/>
      <c r="G19" s="209"/>
      <c r="H19" s="209"/>
      <c r="I19" s="612"/>
      <c r="J19" s="611">
        <f t="shared" si="1"/>
        <v>0</v>
      </c>
      <c r="K19" s="861"/>
      <c r="L19" s="195">
        <v>16</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577">
        <v>16</v>
      </c>
      <c r="AR19" s="863"/>
      <c r="AS19" s="532">
        <v>16</v>
      </c>
      <c r="AT19" s="616">
        <f>'P2 Water Quality'!M20</f>
        <v>0</v>
      </c>
      <c r="AU19" s="196"/>
      <c r="AV19" s="196"/>
      <c r="AW19" s="196"/>
      <c r="AX19" s="196"/>
      <c r="AY19" s="196"/>
      <c r="AZ19" s="196"/>
      <c r="BA19" s="196"/>
      <c r="BB19" s="196"/>
      <c r="BC19" s="196"/>
      <c r="BD19" s="196"/>
      <c r="BE19" s="850"/>
      <c r="BF19" s="58"/>
      <c r="BG19" s="58"/>
      <c r="BH19" s="58"/>
      <c r="BI19" s="12"/>
      <c r="BJ19" s="59"/>
      <c r="BK19" s="59"/>
      <c r="BL19" s="59"/>
      <c r="BM19" s="59"/>
      <c r="BN19" s="60"/>
      <c r="BO19" s="60"/>
      <c r="BP19" s="60"/>
      <c r="BQ19" s="60"/>
      <c r="BR19" s="60"/>
      <c r="BS19" s="60"/>
      <c r="BT19" s="60"/>
      <c r="BU19" s="60"/>
      <c r="BV19" s="41"/>
      <c r="BW19" s="41"/>
      <c r="BX19" s="41"/>
      <c r="BY19" s="41"/>
      <c r="BZ19" s="46"/>
      <c r="CA19" s="46"/>
      <c r="CB19" s="46"/>
      <c r="CC19" s="41"/>
      <c r="CD19" s="41"/>
      <c r="CE19" s="41"/>
      <c r="CI19" s="2"/>
      <c r="CJ19" s="41"/>
    </row>
    <row r="20" spans="1:88" ht="19.5" customHeight="1">
      <c r="A20" s="231">
        <v>17</v>
      </c>
      <c r="B20" s="228">
        <f>'P1 Chemicals'!C24</f>
        <v>0</v>
      </c>
      <c r="C20" s="229">
        <f t="shared" si="0"/>
        <v>0</v>
      </c>
      <c r="D20" s="196"/>
      <c r="E20" s="209"/>
      <c r="F20" s="209"/>
      <c r="G20" s="209"/>
      <c r="H20" s="209"/>
      <c r="I20" s="209"/>
      <c r="J20" s="611">
        <f t="shared" si="1"/>
        <v>0</v>
      </c>
      <c r="K20" s="861"/>
      <c r="L20" s="195">
        <v>17</v>
      </c>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577">
        <v>17</v>
      </c>
      <c r="AR20" s="863"/>
      <c r="AS20" s="532">
        <v>17</v>
      </c>
      <c r="AT20" s="616">
        <f>'P2 Water Quality'!M21</f>
        <v>0</v>
      </c>
      <c r="AU20" s="196"/>
      <c r="AV20" s="196"/>
      <c r="AW20" s="196"/>
      <c r="AX20" s="196"/>
      <c r="AY20" s="196"/>
      <c r="AZ20" s="196"/>
      <c r="BA20" s="196"/>
      <c r="BB20" s="196"/>
      <c r="BC20" s="196"/>
      <c r="BD20" s="196"/>
      <c r="BE20" s="850"/>
      <c r="BF20" s="58"/>
      <c r="BG20" s="58"/>
      <c r="BH20" s="58"/>
      <c r="BI20" s="12"/>
      <c r="BJ20" s="59"/>
      <c r="BK20" s="59"/>
      <c r="BL20" s="59"/>
      <c r="BM20" s="59"/>
      <c r="BN20" s="60"/>
      <c r="BO20" s="60"/>
      <c r="BP20" s="60"/>
      <c r="BQ20" s="60"/>
      <c r="BR20" s="60"/>
      <c r="BS20" s="60"/>
      <c r="BT20" s="60"/>
      <c r="BU20" s="60"/>
      <c r="BV20" s="41"/>
      <c r="BW20" s="41"/>
      <c r="BX20" s="41"/>
      <c r="BY20" s="41"/>
      <c r="BZ20" s="41"/>
      <c r="CA20" s="41"/>
      <c r="CC20" s="41"/>
      <c r="CD20" s="41"/>
      <c r="CE20" s="41"/>
      <c r="CF20" s="41"/>
      <c r="CG20" s="41"/>
      <c r="CI20" s="2"/>
      <c r="CJ20" s="41"/>
    </row>
    <row r="21" spans="1:88" ht="19.5" customHeight="1">
      <c r="A21" s="231">
        <v>18</v>
      </c>
      <c r="B21" s="228">
        <f>'P1 Chemicals'!C25</f>
        <v>0</v>
      </c>
      <c r="C21" s="229">
        <f t="shared" si="0"/>
        <v>0</v>
      </c>
      <c r="D21" s="196"/>
      <c r="E21" s="209"/>
      <c r="F21" s="209"/>
      <c r="G21" s="209"/>
      <c r="H21" s="209"/>
      <c r="I21" s="612"/>
      <c r="J21" s="611">
        <f t="shared" si="1"/>
        <v>0</v>
      </c>
      <c r="K21" s="861"/>
      <c r="L21" s="195">
        <v>18</v>
      </c>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577">
        <v>18</v>
      </c>
      <c r="AR21" s="863"/>
      <c r="AS21" s="532">
        <v>18</v>
      </c>
      <c r="AT21" s="616">
        <f>'P2 Water Quality'!M22</f>
        <v>0</v>
      </c>
      <c r="AU21" s="196"/>
      <c r="AV21" s="196"/>
      <c r="AW21" s="196"/>
      <c r="AX21" s="196"/>
      <c r="AY21" s="196"/>
      <c r="AZ21" s="196"/>
      <c r="BA21" s="196"/>
      <c r="BB21" s="196"/>
      <c r="BC21" s="196"/>
      <c r="BD21" s="196"/>
      <c r="BE21" s="850"/>
      <c r="BF21" s="58"/>
      <c r="BG21" s="58"/>
      <c r="BH21" s="58"/>
      <c r="BI21" s="12"/>
      <c r="BJ21" s="59"/>
      <c r="BK21" s="59"/>
      <c r="BL21" s="59"/>
      <c r="BM21" s="59"/>
      <c r="BN21" s="60"/>
      <c r="BO21" s="60"/>
      <c r="BP21" s="60"/>
      <c r="BQ21" s="60"/>
      <c r="BR21" s="60"/>
      <c r="BS21" s="60"/>
      <c r="BT21" s="60"/>
      <c r="BU21" s="60"/>
      <c r="BV21" s="65"/>
      <c r="BW21" s="40"/>
      <c r="BX21" s="40"/>
      <c r="BY21" s="40"/>
      <c r="BZ21" s="40"/>
      <c r="CA21" s="40"/>
      <c r="CB21" s="43"/>
      <c r="CC21" s="40"/>
      <c r="CD21" s="40"/>
      <c r="CE21" s="41"/>
      <c r="CF21" s="41"/>
      <c r="CG21" s="41"/>
      <c r="CI21" s="2"/>
      <c r="CJ21" s="41"/>
    </row>
    <row r="22" spans="1:88" ht="19.5" customHeight="1">
      <c r="A22" s="231">
        <v>19</v>
      </c>
      <c r="B22" s="228">
        <f>'P1 Chemicals'!C26</f>
        <v>0</v>
      </c>
      <c r="C22" s="229">
        <f t="shared" si="0"/>
        <v>0</v>
      </c>
      <c r="D22" s="196"/>
      <c r="E22" s="209"/>
      <c r="F22" s="209"/>
      <c r="G22" s="209"/>
      <c r="H22" s="209"/>
      <c r="I22" s="612"/>
      <c r="J22" s="611">
        <f t="shared" si="1"/>
        <v>0</v>
      </c>
      <c r="K22" s="861"/>
      <c r="L22" s="195">
        <v>19</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577">
        <v>19</v>
      </c>
      <c r="AR22" s="863"/>
      <c r="AS22" s="532">
        <v>19</v>
      </c>
      <c r="AT22" s="616">
        <f>'P2 Water Quality'!M23</f>
        <v>0</v>
      </c>
      <c r="AU22" s="196"/>
      <c r="AV22" s="196"/>
      <c r="AW22" s="196"/>
      <c r="AX22" s="196"/>
      <c r="AY22" s="196"/>
      <c r="AZ22" s="196"/>
      <c r="BA22" s="196"/>
      <c r="BB22" s="196"/>
      <c r="BC22" s="196"/>
      <c r="BD22" s="196"/>
      <c r="BE22" s="850"/>
      <c r="BF22" s="58"/>
      <c r="BG22" s="58"/>
      <c r="BH22" s="58"/>
      <c r="BI22" s="12"/>
      <c r="BJ22" s="59"/>
      <c r="BK22" s="59"/>
      <c r="BL22" s="59"/>
      <c r="BM22" s="59"/>
      <c r="BN22" s="60"/>
      <c r="BO22" s="60"/>
      <c r="BP22" s="60"/>
      <c r="BQ22" s="60"/>
      <c r="BR22" s="60"/>
      <c r="BS22" s="60"/>
      <c r="BT22" s="60"/>
      <c r="BU22" s="60"/>
      <c r="BV22" s="4"/>
      <c r="BW22" s="40"/>
      <c r="BX22" s="40"/>
      <c r="BY22" s="40"/>
      <c r="BZ22" s="40"/>
      <c r="CA22" s="40"/>
      <c r="CB22" s="43"/>
      <c r="CC22" s="40"/>
      <c r="CD22" s="40"/>
      <c r="CG22" s="41"/>
      <c r="CH22" s="41"/>
      <c r="CI22" s="41"/>
      <c r="CJ22" s="41"/>
    </row>
    <row r="23" spans="1:88" ht="19.5" customHeight="1">
      <c r="A23" s="231">
        <v>20</v>
      </c>
      <c r="B23" s="228">
        <f>'P1 Chemicals'!C27</f>
        <v>0</v>
      </c>
      <c r="C23" s="229">
        <f t="shared" si="0"/>
        <v>0</v>
      </c>
      <c r="D23" s="196"/>
      <c r="E23" s="209"/>
      <c r="F23" s="209"/>
      <c r="G23" s="209"/>
      <c r="H23" s="209"/>
      <c r="I23" s="209"/>
      <c r="J23" s="611">
        <f t="shared" si="1"/>
        <v>0</v>
      </c>
      <c r="K23" s="861"/>
      <c r="L23" s="195">
        <v>20</v>
      </c>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577">
        <v>20</v>
      </c>
      <c r="AR23" s="863"/>
      <c r="AS23" s="532">
        <v>20</v>
      </c>
      <c r="AT23" s="616">
        <f>'P2 Water Quality'!M24</f>
        <v>0</v>
      </c>
      <c r="AU23" s="196"/>
      <c r="AV23" s="196"/>
      <c r="AW23" s="196"/>
      <c r="AX23" s="196"/>
      <c r="AY23" s="196"/>
      <c r="AZ23" s="196"/>
      <c r="BA23" s="196"/>
      <c r="BB23" s="196"/>
      <c r="BC23" s="196"/>
      <c r="BD23" s="196"/>
      <c r="BE23" s="850"/>
      <c r="BF23" s="58"/>
      <c r="BG23" s="58"/>
      <c r="BH23" s="58"/>
      <c r="BI23" s="12"/>
      <c r="BJ23" s="59"/>
      <c r="BK23" s="59"/>
      <c r="BL23" s="59"/>
      <c r="BM23" s="59"/>
      <c r="BN23" s="60"/>
      <c r="BO23" s="60"/>
      <c r="BP23" s="60"/>
      <c r="BQ23" s="60"/>
      <c r="BR23" s="60"/>
      <c r="BS23" s="60"/>
      <c r="BT23" s="60"/>
      <c r="BU23" s="60"/>
      <c r="BV23" s="40"/>
      <c r="BW23" s="40"/>
      <c r="BX23" s="66"/>
      <c r="BY23" s="43"/>
      <c r="BZ23" s="40"/>
      <c r="CA23" s="40"/>
      <c r="CB23" s="43"/>
      <c r="CC23" s="43"/>
      <c r="CD23" s="43"/>
      <c r="CE23" s="41"/>
      <c r="CG23" s="41"/>
      <c r="CH23" s="41"/>
      <c r="CI23" s="41"/>
      <c r="CJ23" s="41"/>
    </row>
    <row r="24" spans="1:88" ht="19.5" customHeight="1">
      <c r="A24" s="231">
        <v>21</v>
      </c>
      <c r="B24" s="228">
        <f>'P1 Chemicals'!C28</f>
        <v>0</v>
      </c>
      <c r="C24" s="229">
        <f t="shared" si="0"/>
        <v>0</v>
      </c>
      <c r="D24" s="196"/>
      <c r="E24" s="209"/>
      <c r="F24" s="209"/>
      <c r="G24" s="209"/>
      <c r="H24" s="209"/>
      <c r="I24" s="612"/>
      <c r="J24" s="611">
        <f t="shared" si="1"/>
        <v>0</v>
      </c>
      <c r="K24" s="861"/>
      <c r="L24" s="195">
        <v>21</v>
      </c>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577">
        <v>21</v>
      </c>
      <c r="AR24" s="863"/>
      <c r="AS24" s="532">
        <v>21</v>
      </c>
      <c r="AT24" s="616">
        <f>'P2 Water Quality'!M25</f>
        <v>0</v>
      </c>
      <c r="AU24" s="196"/>
      <c r="AV24" s="196"/>
      <c r="AW24" s="196"/>
      <c r="AX24" s="196"/>
      <c r="AY24" s="196"/>
      <c r="AZ24" s="196"/>
      <c r="BA24" s="196"/>
      <c r="BB24" s="196"/>
      <c r="BC24" s="196"/>
      <c r="BD24" s="196"/>
      <c r="BE24" s="850"/>
      <c r="BF24" s="58"/>
      <c r="BG24" s="58"/>
      <c r="BH24" s="58"/>
      <c r="BI24" s="12"/>
      <c r="BJ24" s="59"/>
      <c r="BK24" s="59"/>
      <c r="BL24" s="59"/>
      <c r="BM24" s="59"/>
      <c r="BN24" s="60"/>
      <c r="BO24" s="60"/>
      <c r="BP24" s="60"/>
      <c r="BQ24" s="60"/>
      <c r="BR24" s="60"/>
      <c r="BS24" s="60"/>
      <c r="BT24" s="60"/>
      <c r="BU24" s="60"/>
      <c r="BV24" s="67"/>
      <c r="BW24" s="67"/>
      <c r="BX24" s="67"/>
      <c r="BY24" s="67"/>
      <c r="BZ24" s="67"/>
      <c r="CA24" s="67"/>
      <c r="CB24" s="68"/>
      <c r="CC24" s="67"/>
      <c r="CD24" s="67"/>
      <c r="CI24" s="41"/>
      <c r="CJ24" s="41"/>
    </row>
    <row r="25" spans="1:88" ht="19.5" customHeight="1">
      <c r="A25" s="231">
        <v>22</v>
      </c>
      <c r="B25" s="228">
        <f>'P1 Chemicals'!C29</f>
        <v>0</v>
      </c>
      <c r="C25" s="229">
        <f t="shared" si="0"/>
        <v>0</v>
      </c>
      <c r="D25" s="196"/>
      <c r="E25" s="209"/>
      <c r="F25" s="209"/>
      <c r="G25" s="209"/>
      <c r="H25" s="209"/>
      <c r="I25" s="209"/>
      <c r="J25" s="611">
        <f t="shared" si="1"/>
        <v>0</v>
      </c>
      <c r="K25" s="861"/>
      <c r="L25" s="195">
        <v>22</v>
      </c>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577">
        <v>22</v>
      </c>
      <c r="AR25" s="863"/>
      <c r="AS25" s="532">
        <v>22</v>
      </c>
      <c r="AT25" s="616">
        <f>'P2 Water Quality'!M26</f>
        <v>0</v>
      </c>
      <c r="AU25" s="196"/>
      <c r="AV25" s="196"/>
      <c r="AW25" s="196"/>
      <c r="AX25" s="196"/>
      <c r="AY25" s="196"/>
      <c r="AZ25" s="196"/>
      <c r="BA25" s="196"/>
      <c r="BB25" s="196"/>
      <c r="BC25" s="196"/>
      <c r="BD25" s="196"/>
      <c r="BE25" s="850"/>
      <c r="BF25" s="58"/>
      <c r="BG25" s="58"/>
      <c r="BH25" s="58"/>
      <c r="BI25" s="12"/>
      <c r="BJ25" s="59"/>
      <c r="BK25" s="59"/>
      <c r="BL25" s="59"/>
      <c r="BM25" s="59"/>
      <c r="BN25" s="60"/>
      <c r="BO25" s="60"/>
      <c r="BP25" s="60"/>
      <c r="BQ25" s="60"/>
      <c r="BR25" s="60"/>
      <c r="BS25" s="60"/>
      <c r="BT25" s="60"/>
      <c r="BU25" s="60"/>
      <c r="BV25" s="2"/>
      <c r="BW25" s="41"/>
      <c r="BX25" s="41"/>
      <c r="BY25" s="41"/>
      <c r="BZ25" s="41"/>
      <c r="CA25" s="41"/>
      <c r="CB25" s="41"/>
      <c r="CC25" s="41"/>
      <c r="CD25" s="41"/>
      <c r="CE25" s="41"/>
      <c r="CF25" s="41"/>
      <c r="CG25" s="41"/>
      <c r="CH25" s="41"/>
      <c r="CI25" s="41"/>
      <c r="CJ25" s="41"/>
    </row>
    <row r="26" spans="1:88" ht="19.5" customHeight="1">
      <c r="A26" s="231">
        <v>23</v>
      </c>
      <c r="B26" s="228">
        <f>'P1 Chemicals'!C30</f>
        <v>0</v>
      </c>
      <c r="C26" s="229">
        <f t="shared" si="0"/>
        <v>0</v>
      </c>
      <c r="D26" s="196"/>
      <c r="E26" s="209"/>
      <c r="F26" s="209"/>
      <c r="G26" s="209"/>
      <c r="H26" s="209"/>
      <c r="I26" s="612"/>
      <c r="J26" s="611">
        <f t="shared" si="1"/>
        <v>0</v>
      </c>
      <c r="K26" s="861"/>
      <c r="L26" s="195">
        <v>23</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577">
        <v>23</v>
      </c>
      <c r="AR26" s="863"/>
      <c r="AS26" s="532">
        <v>23</v>
      </c>
      <c r="AT26" s="616">
        <f>'P2 Water Quality'!M27</f>
        <v>0</v>
      </c>
      <c r="AU26" s="196"/>
      <c r="AV26" s="196"/>
      <c r="AW26" s="196"/>
      <c r="AX26" s="196"/>
      <c r="AY26" s="196"/>
      <c r="AZ26" s="196"/>
      <c r="BA26" s="196"/>
      <c r="BB26" s="196"/>
      <c r="BC26" s="196"/>
      <c r="BD26" s="196"/>
      <c r="BE26" s="850"/>
      <c r="BF26" s="58"/>
      <c r="BG26" s="58"/>
      <c r="BH26" s="58"/>
      <c r="BI26" s="12"/>
      <c r="BJ26" s="59"/>
      <c r="BK26" s="59"/>
      <c r="BL26" s="59"/>
      <c r="BM26" s="59"/>
      <c r="BN26" s="60"/>
      <c r="BO26" s="60"/>
      <c r="BP26" s="60"/>
      <c r="BQ26" s="60"/>
      <c r="BR26" s="60"/>
      <c r="BS26" s="60"/>
      <c r="BT26" s="60"/>
      <c r="BU26" s="60"/>
      <c r="BV26" s="65"/>
      <c r="BW26" s="40"/>
      <c r="BX26" s="40"/>
      <c r="BY26" s="40"/>
      <c r="BZ26" s="40"/>
      <c r="CA26" s="64"/>
      <c r="CB26" s="40"/>
      <c r="CC26" s="40"/>
      <c r="CD26" s="40"/>
      <c r="CE26" s="40"/>
      <c r="CF26" s="43"/>
      <c r="CG26" s="43"/>
      <c r="CH26" s="43"/>
    </row>
    <row r="27" spans="1:88" ht="19.5" customHeight="1">
      <c r="A27" s="231">
        <v>24</v>
      </c>
      <c r="B27" s="228">
        <f>'P1 Chemicals'!C31</f>
        <v>0</v>
      </c>
      <c r="C27" s="229">
        <f t="shared" si="0"/>
        <v>0</v>
      </c>
      <c r="D27" s="196"/>
      <c r="E27" s="209"/>
      <c r="F27" s="209"/>
      <c r="G27" s="209"/>
      <c r="H27" s="209"/>
      <c r="I27" s="612"/>
      <c r="J27" s="611">
        <f t="shared" si="1"/>
        <v>0</v>
      </c>
      <c r="K27" s="861"/>
      <c r="L27" s="195">
        <v>24</v>
      </c>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577">
        <v>24</v>
      </c>
      <c r="AR27" s="863"/>
      <c r="AS27" s="532">
        <v>24</v>
      </c>
      <c r="AT27" s="616">
        <f>'P2 Water Quality'!M28</f>
        <v>0</v>
      </c>
      <c r="AU27" s="196"/>
      <c r="AV27" s="196"/>
      <c r="AW27" s="196"/>
      <c r="AX27" s="196"/>
      <c r="AY27" s="196"/>
      <c r="AZ27" s="196"/>
      <c r="BA27" s="196"/>
      <c r="BB27" s="196"/>
      <c r="BC27" s="196"/>
      <c r="BD27" s="196"/>
      <c r="BE27" s="850"/>
      <c r="BF27" s="58"/>
      <c r="BG27" s="58"/>
      <c r="BH27" s="58"/>
      <c r="BI27" s="12"/>
      <c r="BJ27" s="59"/>
      <c r="BK27" s="59"/>
      <c r="BL27" s="59"/>
      <c r="BM27" s="59"/>
      <c r="BN27" s="60"/>
      <c r="BO27" s="60"/>
      <c r="BP27" s="60"/>
      <c r="BQ27" s="60"/>
      <c r="BR27" s="60"/>
      <c r="BS27" s="60"/>
      <c r="BT27" s="60"/>
      <c r="BU27" s="60"/>
      <c r="BV27" s="4"/>
      <c r="BW27" s="40"/>
      <c r="BX27" s="40"/>
      <c r="BY27" s="40"/>
      <c r="BZ27" s="40"/>
      <c r="CA27" s="7"/>
      <c r="CB27" s="40"/>
      <c r="CC27" s="40"/>
      <c r="CD27" s="43"/>
      <c r="CE27" s="40"/>
      <c r="CF27" s="40"/>
      <c r="CG27" s="40"/>
      <c r="CH27" s="40"/>
      <c r="CI27" s="41"/>
      <c r="CJ27" s="41"/>
    </row>
    <row r="28" spans="1:88" ht="19.5" customHeight="1">
      <c r="A28" s="231">
        <v>25</v>
      </c>
      <c r="B28" s="228">
        <f>'P1 Chemicals'!C32</f>
        <v>0</v>
      </c>
      <c r="C28" s="229">
        <f t="shared" si="0"/>
        <v>0</v>
      </c>
      <c r="D28" s="196"/>
      <c r="E28" s="209"/>
      <c r="F28" s="209"/>
      <c r="G28" s="209"/>
      <c r="H28" s="209"/>
      <c r="I28" s="209"/>
      <c r="J28" s="611">
        <f t="shared" si="1"/>
        <v>0</v>
      </c>
      <c r="K28" s="861"/>
      <c r="L28" s="195">
        <v>25</v>
      </c>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577">
        <v>25</v>
      </c>
      <c r="AR28" s="863"/>
      <c r="AS28" s="532">
        <v>25</v>
      </c>
      <c r="AT28" s="616">
        <f>'P2 Water Quality'!M29</f>
        <v>0</v>
      </c>
      <c r="AU28" s="196"/>
      <c r="AV28" s="196"/>
      <c r="AW28" s="196"/>
      <c r="AX28" s="196"/>
      <c r="AY28" s="196"/>
      <c r="AZ28" s="196"/>
      <c r="BA28" s="196"/>
      <c r="BB28" s="196"/>
      <c r="BC28" s="196"/>
      <c r="BD28" s="196"/>
      <c r="BE28" s="850"/>
      <c r="BF28" s="58"/>
      <c r="BG28" s="58"/>
      <c r="BH28" s="58"/>
      <c r="BI28" s="12"/>
      <c r="BJ28" s="59"/>
      <c r="BK28" s="59"/>
      <c r="BL28" s="59"/>
      <c r="BM28" s="59"/>
      <c r="BN28" s="60"/>
      <c r="BO28" s="60"/>
      <c r="BP28" s="60"/>
      <c r="BQ28" s="60"/>
      <c r="BR28" s="60"/>
      <c r="BS28" s="60"/>
      <c r="BT28" s="60"/>
      <c r="BU28" s="60"/>
      <c r="BV28" s="40"/>
      <c r="BW28" s="40"/>
      <c r="BX28" s="40"/>
      <c r="BY28" s="66"/>
      <c r="BZ28" s="43"/>
      <c r="CA28" s="69"/>
      <c r="CB28" s="40"/>
      <c r="CC28" s="40"/>
      <c r="CD28" s="43"/>
      <c r="CE28" s="43"/>
      <c r="CF28" s="69"/>
      <c r="CG28" s="5"/>
      <c r="CH28" s="40"/>
      <c r="CI28" s="41"/>
      <c r="CJ28" s="2"/>
    </row>
    <row r="29" spans="1:88" ht="19.5" customHeight="1">
      <c r="A29" s="231">
        <v>26</v>
      </c>
      <c r="B29" s="228">
        <f>'P1 Chemicals'!C33</f>
        <v>0</v>
      </c>
      <c r="C29" s="229">
        <f t="shared" si="0"/>
        <v>0</v>
      </c>
      <c r="D29" s="196"/>
      <c r="E29" s="209"/>
      <c r="F29" s="209"/>
      <c r="G29" s="209"/>
      <c r="H29" s="209"/>
      <c r="I29" s="612"/>
      <c r="J29" s="611">
        <f t="shared" si="1"/>
        <v>0</v>
      </c>
      <c r="K29" s="861"/>
      <c r="L29" s="195">
        <v>26</v>
      </c>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577">
        <v>26</v>
      </c>
      <c r="AR29" s="863"/>
      <c r="AS29" s="532">
        <v>26</v>
      </c>
      <c r="AT29" s="616">
        <f>'P2 Water Quality'!M30</f>
        <v>0</v>
      </c>
      <c r="AU29" s="196"/>
      <c r="AV29" s="196"/>
      <c r="AW29" s="196"/>
      <c r="AX29" s="196"/>
      <c r="AY29" s="196"/>
      <c r="AZ29" s="196"/>
      <c r="BA29" s="196"/>
      <c r="BB29" s="196"/>
      <c r="BC29" s="196"/>
      <c r="BD29" s="196"/>
      <c r="BE29" s="850"/>
      <c r="BF29" s="58"/>
      <c r="BG29" s="58"/>
      <c r="BH29" s="58"/>
      <c r="BI29" s="12"/>
      <c r="BJ29" s="59"/>
      <c r="BK29" s="59"/>
      <c r="BL29" s="59"/>
      <c r="BM29" s="59"/>
      <c r="BN29" s="60"/>
      <c r="BO29" s="60"/>
      <c r="BP29" s="60"/>
      <c r="BQ29" s="60"/>
      <c r="BR29" s="60"/>
      <c r="BS29" s="60"/>
      <c r="BT29" s="60"/>
      <c r="BU29" s="60"/>
      <c r="BV29" s="41"/>
      <c r="BW29" s="41"/>
      <c r="BX29" s="70"/>
      <c r="BY29" s="41"/>
      <c r="BZ29" s="41"/>
      <c r="CA29" s="71"/>
      <c r="CB29" s="41"/>
      <c r="CC29" s="41"/>
      <c r="CD29" s="41"/>
      <c r="CE29" s="41"/>
      <c r="CF29" s="41"/>
      <c r="CG29" s="41"/>
      <c r="CH29" s="41"/>
      <c r="CI29" s="41"/>
      <c r="CJ29" s="41"/>
    </row>
    <row r="30" spans="1:88" ht="19.5" customHeight="1">
      <c r="A30" s="231">
        <v>27</v>
      </c>
      <c r="B30" s="228">
        <f>'P1 Chemicals'!C34</f>
        <v>0</v>
      </c>
      <c r="C30" s="229">
        <f t="shared" si="0"/>
        <v>0</v>
      </c>
      <c r="D30" s="196"/>
      <c r="E30" s="209"/>
      <c r="F30" s="209"/>
      <c r="G30" s="209"/>
      <c r="H30" s="209"/>
      <c r="I30" s="209"/>
      <c r="J30" s="611">
        <f t="shared" si="1"/>
        <v>0</v>
      </c>
      <c r="K30" s="861"/>
      <c r="L30" s="195">
        <v>27</v>
      </c>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577">
        <v>27</v>
      </c>
      <c r="AR30" s="863"/>
      <c r="AS30" s="532">
        <v>27</v>
      </c>
      <c r="AT30" s="616">
        <f>'P2 Water Quality'!M31</f>
        <v>0</v>
      </c>
      <c r="AU30" s="196"/>
      <c r="AV30" s="196"/>
      <c r="AW30" s="196"/>
      <c r="AX30" s="196"/>
      <c r="AY30" s="196"/>
      <c r="AZ30" s="196"/>
      <c r="BA30" s="196"/>
      <c r="BB30" s="196"/>
      <c r="BC30" s="196"/>
      <c r="BD30" s="196"/>
      <c r="BE30" s="850"/>
      <c r="BF30" s="58"/>
      <c r="BG30" s="58"/>
      <c r="BH30" s="58"/>
      <c r="BI30" s="12"/>
      <c r="BJ30" s="59"/>
      <c r="BK30" s="59"/>
      <c r="BL30" s="59"/>
      <c r="BM30" s="59"/>
      <c r="BN30" s="60"/>
      <c r="BO30" s="60"/>
      <c r="BP30" s="60"/>
      <c r="BQ30" s="60"/>
      <c r="BR30" s="60"/>
      <c r="BS30" s="60"/>
      <c r="BT30" s="60"/>
      <c r="BU30" s="60"/>
      <c r="BV30" s="68"/>
      <c r="BW30" s="68"/>
      <c r="BX30" s="67"/>
      <c r="BY30" s="68"/>
      <c r="BZ30" s="67"/>
      <c r="CA30" s="68"/>
      <c r="CB30" s="68"/>
      <c r="CC30" s="67"/>
      <c r="CD30" s="68"/>
      <c r="CE30" s="67"/>
      <c r="CF30" s="67"/>
      <c r="CG30" s="67"/>
      <c r="CH30" s="41"/>
      <c r="CI30" s="41"/>
      <c r="CJ30" s="41"/>
    </row>
    <row r="31" spans="1:88" ht="19.5" customHeight="1">
      <c r="A31" s="231">
        <v>28</v>
      </c>
      <c r="B31" s="228">
        <f>'P1 Chemicals'!C35</f>
        <v>0</v>
      </c>
      <c r="C31" s="229">
        <f t="shared" si="0"/>
        <v>0</v>
      </c>
      <c r="D31" s="196"/>
      <c r="E31" s="209"/>
      <c r="F31" s="209"/>
      <c r="G31" s="209"/>
      <c r="H31" s="209"/>
      <c r="I31" s="612"/>
      <c r="J31" s="611">
        <f t="shared" si="1"/>
        <v>0</v>
      </c>
      <c r="K31" s="861"/>
      <c r="L31" s="195">
        <v>28</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577">
        <v>28</v>
      </c>
      <c r="AR31" s="863"/>
      <c r="AS31" s="532">
        <v>28</v>
      </c>
      <c r="AT31" s="616">
        <f>'P2 Water Quality'!M32</f>
        <v>0</v>
      </c>
      <c r="AU31" s="196"/>
      <c r="AV31" s="196"/>
      <c r="AW31" s="196"/>
      <c r="AX31" s="196"/>
      <c r="AY31" s="196"/>
      <c r="AZ31" s="196"/>
      <c r="BA31" s="196"/>
      <c r="BB31" s="196"/>
      <c r="BC31" s="196"/>
      <c r="BD31" s="196"/>
      <c r="BE31" s="850"/>
      <c r="BF31" s="58"/>
      <c r="BG31" s="58"/>
      <c r="BH31" s="58"/>
      <c r="BI31" s="12"/>
      <c r="BJ31" s="59"/>
      <c r="BK31" s="59"/>
      <c r="BL31" s="59"/>
      <c r="BM31" s="59"/>
      <c r="BN31" s="60"/>
      <c r="BO31" s="60"/>
      <c r="BP31" s="60"/>
      <c r="BQ31" s="60"/>
      <c r="BR31" s="60"/>
      <c r="BS31" s="60"/>
      <c r="BT31" s="60"/>
      <c r="BU31" s="60"/>
      <c r="BV31" s="68"/>
      <c r="BW31" s="68"/>
      <c r="BX31" s="67"/>
      <c r="BY31" s="68"/>
      <c r="BZ31" s="67"/>
      <c r="CA31" s="68"/>
      <c r="CB31" s="68"/>
      <c r="CC31" s="67"/>
      <c r="CD31" s="68"/>
      <c r="CE31" s="67"/>
      <c r="CF31" s="67"/>
      <c r="CG31" s="67"/>
      <c r="CH31" s="41"/>
      <c r="CI31" s="41"/>
      <c r="CJ31" s="41"/>
    </row>
    <row r="32" spans="1:88" ht="19.5" customHeight="1">
      <c r="A32" s="231">
        <v>29</v>
      </c>
      <c r="B32" s="411" t="str">
        <f>IF('P1 Chemicals'!C36=0," ",'P1 Chemicals'!C36)</f>
        <v xml:space="preserve"> </v>
      </c>
      <c r="C32" s="412" t="str">
        <f>IFERROR(ROUNDUP(B32/4, 0)," ")</f>
        <v xml:space="preserve"> </v>
      </c>
      <c r="D32" s="209"/>
      <c r="E32" s="209"/>
      <c r="F32" s="209"/>
      <c r="G32" s="209"/>
      <c r="H32" s="209"/>
      <c r="I32" s="209"/>
      <c r="J32" s="611" t="str">
        <f>IF((MAX(D32:I32))=0,"",(MAX(D32:I32)))</f>
        <v/>
      </c>
      <c r="K32" s="861"/>
      <c r="L32" s="195">
        <v>29</v>
      </c>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577">
        <v>29</v>
      </c>
      <c r="AR32" s="863"/>
      <c r="AS32" s="532">
        <v>29</v>
      </c>
      <c r="AT32" s="616">
        <f>'P2 Water Quality'!M33</f>
        <v>0</v>
      </c>
      <c r="AU32" s="196"/>
      <c r="AV32" s="196"/>
      <c r="AW32" s="196"/>
      <c r="AX32" s="196"/>
      <c r="AY32" s="196"/>
      <c r="AZ32" s="196"/>
      <c r="BA32" s="196"/>
      <c r="BB32" s="196"/>
      <c r="BC32" s="196"/>
      <c r="BD32" s="196"/>
      <c r="BE32" s="850"/>
      <c r="BF32" s="58"/>
      <c r="BG32" s="58"/>
      <c r="BH32" s="58"/>
      <c r="BI32" s="12"/>
      <c r="BJ32" s="59"/>
      <c r="BK32" s="59"/>
      <c r="BL32" s="59"/>
      <c r="BM32" s="59"/>
      <c r="BN32" s="60"/>
      <c r="BO32" s="60"/>
      <c r="BP32" s="60"/>
      <c r="BQ32" s="60"/>
      <c r="BR32" s="60"/>
      <c r="BS32" s="60"/>
      <c r="BT32" s="60"/>
      <c r="BU32" s="60"/>
      <c r="BV32" s="6"/>
      <c r="BW32" s="67"/>
      <c r="BX32" s="67"/>
      <c r="BY32" s="67"/>
      <c r="BZ32" s="67"/>
      <c r="CA32" s="6"/>
      <c r="CB32" s="67"/>
      <c r="CC32" s="67"/>
      <c r="CD32" s="67"/>
      <c r="CE32" s="67"/>
      <c r="CF32" s="67"/>
      <c r="CG32" s="67"/>
      <c r="CH32" s="41"/>
      <c r="CI32" s="41"/>
      <c r="CJ32" s="41"/>
    </row>
    <row r="33" spans="1:88" ht="19.5" customHeight="1">
      <c r="A33" s="231">
        <v>30</v>
      </c>
      <c r="B33" s="228" t="str">
        <f>IF('P1 Chemicals'!C37=0," ",'P1 Chemicals'!C37)</f>
        <v xml:space="preserve"> </v>
      </c>
      <c r="C33" s="229" t="str">
        <f>IFERROR(ROUNDUP(B33/4, 0)," ")</f>
        <v xml:space="preserve"> </v>
      </c>
      <c r="D33" s="209"/>
      <c r="E33" s="209"/>
      <c r="F33" s="209"/>
      <c r="G33" s="209"/>
      <c r="H33" s="209"/>
      <c r="I33" s="612"/>
      <c r="J33" s="611" t="str">
        <f>IF((MAX(D33:I33))=0,"",(MAX(D33:I33)))</f>
        <v/>
      </c>
      <c r="K33" s="861"/>
      <c r="L33" s="195">
        <v>30</v>
      </c>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577">
        <v>30</v>
      </c>
      <c r="AR33" s="863"/>
      <c r="AS33" s="532">
        <v>30</v>
      </c>
      <c r="AT33" s="616">
        <f>'P2 Water Quality'!M34</f>
        <v>0</v>
      </c>
      <c r="AU33" s="196"/>
      <c r="AV33" s="196"/>
      <c r="AW33" s="196"/>
      <c r="AX33" s="196"/>
      <c r="AY33" s="196"/>
      <c r="AZ33" s="196"/>
      <c r="BA33" s="196"/>
      <c r="BB33" s="196"/>
      <c r="BC33" s="196"/>
      <c r="BD33" s="196"/>
      <c r="BE33" s="850"/>
      <c r="BF33" s="58"/>
      <c r="BG33" s="58"/>
      <c r="BH33" s="58"/>
      <c r="BI33" s="12"/>
      <c r="BJ33" s="59"/>
      <c r="BK33" s="59"/>
      <c r="BL33" s="59"/>
      <c r="BM33" s="59"/>
      <c r="BN33" s="60"/>
      <c r="BO33" s="60"/>
      <c r="BP33" s="60"/>
      <c r="BQ33" s="60"/>
      <c r="BR33" s="60"/>
      <c r="BS33" s="60"/>
      <c r="BT33" s="60"/>
      <c r="BU33" s="60"/>
      <c r="BV33" s="68"/>
      <c r="BW33" s="68"/>
      <c r="BX33" s="68"/>
      <c r="BY33" s="68"/>
      <c r="BZ33" s="68"/>
      <c r="CA33" s="68"/>
      <c r="CB33" s="68"/>
      <c r="CC33" s="68"/>
      <c r="CD33" s="68"/>
      <c r="CE33" s="68"/>
      <c r="CF33" s="67"/>
      <c r="CG33" s="67"/>
      <c r="CH33" s="41"/>
      <c r="CI33" s="41"/>
      <c r="CJ33" s="41"/>
    </row>
    <row r="34" spans="1:88" ht="19.5" customHeight="1" thickBot="1">
      <c r="A34" s="232">
        <v>31</v>
      </c>
      <c r="B34" s="228" t="str">
        <f>IF('P1 Chemicals'!C38=0," ",'P1 Chemicals'!C38)</f>
        <v xml:space="preserve"> </v>
      </c>
      <c r="C34" s="410" t="str">
        <f>IFERROR(ROUNDUP(B34/4, 0)," ")</f>
        <v xml:space="preserve"> </v>
      </c>
      <c r="D34" s="197"/>
      <c r="E34" s="197"/>
      <c r="F34" s="209"/>
      <c r="G34" s="209"/>
      <c r="H34" s="211"/>
      <c r="I34" s="214"/>
      <c r="J34" s="613" t="str">
        <f>IF((MAX(D34:I34))=0,"",(MAX(D34:I34)))</f>
        <v/>
      </c>
      <c r="K34" s="861"/>
      <c r="L34" s="233">
        <v>31</v>
      </c>
      <c r="M34" s="211"/>
      <c r="N34" s="211"/>
      <c r="O34" s="211"/>
      <c r="P34" s="211"/>
      <c r="Q34" s="197"/>
      <c r="R34" s="211"/>
      <c r="S34" s="211"/>
      <c r="T34" s="211"/>
      <c r="U34" s="211"/>
      <c r="V34" s="211"/>
      <c r="W34" s="211"/>
      <c r="X34" s="211"/>
      <c r="Y34" s="211"/>
      <c r="Z34" s="211"/>
      <c r="AA34" s="211"/>
      <c r="AB34" s="211"/>
      <c r="AC34" s="211"/>
      <c r="AD34" s="211"/>
      <c r="AE34" s="211"/>
      <c r="AF34" s="197"/>
      <c r="AG34" s="211"/>
      <c r="AH34" s="211"/>
      <c r="AI34" s="211"/>
      <c r="AJ34" s="211"/>
      <c r="AK34" s="211"/>
      <c r="AL34" s="211"/>
      <c r="AM34" s="211"/>
      <c r="AN34" s="211"/>
      <c r="AO34" s="211"/>
      <c r="AP34" s="211"/>
      <c r="AQ34" s="578">
        <v>31</v>
      </c>
      <c r="AR34" s="863"/>
      <c r="AS34" s="533">
        <v>31</v>
      </c>
      <c r="AT34" s="617" t="str">
        <f>IF('P2 Water Quality'!M35=0," ",'P2 Water Quality'!M35)</f>
        <v xml:space="preserve"> </v>
      </c>
      <c r="AU34" s="211"/>
      <c r="AV34" s="211"/>
      <c r="AW34" s="211"/>
      <c r="AX34" s="211"/>
      <c r="AY34" s="211"/>
      <c r="AZ34" s="211"/>
      <c r="BA34" s="211"/>
      <c r="BB34" s="211"/>
      <c r="BC34" s="211"/>
      <c r="BD34" s="211"/>
      <c r="BE34" s="850"/>
      <c r="BF34" s="58"/>
      <c r="BG34" s="58"/>
      <c r="BH34" s="58"/>
      <c r="BI34" s="12"/>
      <c r="BJ34" s="59"/>
      <c r="BK34" s="59"/>
      <c r="BL34" s="59"/>
      <c r="BM34" s="59"/>
      <c r="BN34" s="60"/>
      <c r="BO34" s="60"/>
      <c r="BP34" s="60"/>
      <c r="BQ34" s="60"/>
      <c r="BR34" s="60"/>
      <c r="BS34" s="60"/>
      <c r="BT34" s="60"/>
      <c r="BU34" s="60"/>
      <c r="BV34" s="2"/>
      <c r="BW34" s="41"/>
      <c r="BX34" s="41"/>
      <c r="BY34" s="41"/>
      <c r="BZ34" s="41"/>
      <c r="CA34" s="41"/>
      <c r="CB34" s="41"/>
      <c r="CC34" s="41"/>
      <c r="CD34" s="41"/>
      <c r="CE34" s="41"/>
      <c r="CF34" s="41"/>
      <c r="CG34" s="41"/>
      <c r="CH34" s="41"/>
      <c r="CI34" s="41"/>
      <c r="CJ34" s="41"/>
    </row>
    <row r="35" spans="1:88" ht="23.1" customHeight="1" thickBot="1">
      <c r="A35" s="459" t="s">
        <v>181</v>
      </c>
      <c r="B35" s="460">
        <f>SUM(B4:B34)</f>
        <v>0</v>
      </c>
      <c r="C35" s="461">
        <f>SUM(C4:C34)</f>
        <v>0</v>
      </c>
      <c r="D35" s="462"/>
      <c r="E35" s="462"/>
      <c r="F35" s="463"/>
      <c r="G35" s="464"/>
      <c r="H35" s="465" t="s">
        <v>182</v>
      </c>
      <c r="I35" s="466">
        <f>COUNTIF(D4:I34, "&gt;0")</f>
        <v>0</v>
      </c>
      <c r="J35" s="614">
        <f>MAX(J4:J34)</f>
        <v>0</v>
      </c>
      <c r="K35" s="861"/>
      <c r="L35" s="467" t="s">
        <v>183</v>
      </c>
      <c r="M35" s="615" t="str">
        <f t="shared" ref="M35:AA35" si="2">IFERROR(AVERAGE(M4:M34), " ")</f>
        <v xml:space="preserve"> </v>
      </c>
      <c r="N35" s="615" t="str">
        <f t="shared" si="2"/>
        <v xml:space="preserve"> </v>
      </c>
      <c r="O35" s="615" t="str">
        <f t="shared" si="2"/>
        <v xml:space="preserve"> </v>
      </c>
      <c r="P35" s="615" t="str">
        <f t="shared" si="2"/>
        <v xml:space="preserve"> </v>
      </c>
      <c r="Q35" s="615" t="str">
        <f t="shared" si="2"/>
        <v xml:space="preserve"> </v>
      </c>
      <c r="R35" s="615" t="str">
        <f t="shared" si="2"/>
        <v xml:space="preserve"> </v>
      </c>
      <c r="S35" s="615" t="str">
        <f t="shared" si="2"/>
        <v xml:space="preserve"> </v>
      </c>
      <c r="T35" s="615" t="str">
        <f t="shared" si="2"/>
        <v xml:space="preserve"> </v>
      </c>
      <c r="U35" s="615" t="str">
        <f t="shared" si="2"/>
        <v xml:space="preserve"> </v>
      </c>
      <c r="V35" s="615" t="str">
        <f t="shared" si="2"/>
        <v xml:space="preserve"> </v>
      </c>
      <c r="W35" s="615" t="str">
        <f t="shared" si="2"/>
        <v xml:space="preserve"> </v>
      </c>
      <c r="X35" s="615" t="str">
        <f t="shared" si="2"/>
        <v xml:space="preserve"> </v>
      </c>
      <c r="Y35" s="615" t="str">
        <f t="shared" si="2"/>
        <v xml:space="preserve"> </v>
      </c>
      <c r="Z35" s="615" t="str">
        <f t="shared" si="2"/>
        <v xml:space="preserve"> </v>
      </c>
      <c r="AA35" s="615" t="str">
        <f t="shared" si="2"/>
        <v xml:space="preserve"> </v>
      </c>
      <c r="AB35" s="615" t="str">
        <f t="shared" ref="AB35:AP35" si="3">IFERROR(AVERAGE(AB4:AB34), " ")</f>
        <v xml:space="preserve"> </v>
      </c>
      <c r="AC35" s="615" t="str">
        <f t="shared" si="3"/>
        <v xml:space="preserve"> </v>
      </c>
      <c r="AD35" s="615" t="str">
        <f t="shared" si="3"/>
        <v xml:space="preserve"> </v>
      </c>
      <c r="AE35" s="615" t="str">
        <f t="shared" si="3"/>
        <v xml:space="preserve"> </v>
      </c>
      <c r="AF35" s="615" t="str">
        <f t="shared" si="3"/>
        <v xml:space="preserve"> </v>
      </c>
      <c r="AG35" s="615" t="str">
        <f t="shared" si="3"/>
        <v xml:space="preserve"> </v>
      </c>
      <c r="AH35" s="615" t="str">
        <f t="shared" si="3"/>
        <v xml:space="preserve"> </v>
      </c>
      <c r="AI35" s="615" t="str">
        <f t="shared" si="3"/>
        <v xml:space="preserve"> </v>
      </c>
      <c r="AJ35" s="615" t="str">
        <f t="shared" si="3"/>
        <v xml:space="preserve"> </v>
      </c>
      <c r="AK35" s="615" t="str">
        <f t="shared" si="3"/>
        <v xml:space="preserve"> </v>
      </c>
      <c r="AL35" s="615" t="str">
        <f t="shared" si="3"/>
        <v xml:space="preserve"> </v>
      </c>
      <c r="AM35" s="615" t="str">
        <f t="shared" si="3"/>
        <v xml:space="preserve"> </v>
      </c>
      <c r="AN35" s="615" t="str">
        <f t="shared" si="3"/>
        <v xml:space="preserve"> </v>
      </c>
      <c r="AO35" s="615" t="str">
        <f t="shared" si="3"/>
        <v xml:space="preserve"> </v>
      </c>
      <c r="AP35" s="615" t="str">
        <f t="shared" si="3"/>
        <v xml:space="preserve"> </v>
      </c>
      <c r="AQ35" s="530"/>
      <c r="AR35" s="864"/>
      <c r="AS35" s="534" t="s">
        <v>183</v>
      </c>
      <c r="AT35" s="618">
        <f t="shared" ref="AT35:BD35" si="4">IFERROR(AVERAGE(AT4:AT34), " ")</f>
        <v>0</v>
      </c>
      <c r="AU35" s="619" t="str">
        <f t="shared" si="4"/>
        <v xml:space="preserve"> </v>
      </c>
      <c r="AV35" s="619" t="str">
        <f t="shared" si="4"/>
        <v xml:space="preserve"> </v>
      </c>
      <c r="AW35" s="619" t="str">
        <f t="shared" si="4"/>
        <v xml:space="preserve"> </v>
      </c>
      <c r="AX35" s="619" t="str">
        <f t="shared" si="4"/>
        <v xml:space="preserve"> </v>
      </c>
      <c r="AY35" s="619" t="str">
        <f t="shared" si="4"/>
        <v xml:space="preserve"> </v>
      </c>
      <c r="AZ35" s="619" t="str">
        <f t="shared" si="4"/>
        <v xml:space="preserve"> </v>
      </c>
      <c r="BA35" s="619" t="str">
        <f t="shared" si="4"/>
        <v xml:space="preserve"> </v>
      </c>
      <c r="BB35" s="619" t="str">
        <f t="shared" si="4"/>
        <v xml:space="preserve"> </v>
      </c>
      <c r="BC35" s="619" t="str">
        <f t="shared" si="4"/>
        <v xml:space="preserve"> </v>
      </c>
      <c r="BD35" s="619" t="str">
        <f t="shared" si="4"/>
        <v xml:space="preserve"> </v>
      </c>
      <c r="BE35" s="850"/>
      <c r="BF35" s="58"/>
      <c r="BG35" s="58"/>
      <c r="BH35" s="58"/>
      <c r="BI35" s="12"/>
      <c r="BJ35" s="59"/>
      <c r="BK35" s="59"/>
      <c r="BL35" s="59"/>
      <c r="BM35" s="59"/>
      <c r="BN35" s="60"/>
      <c r="BO35" s="60"/>
      <c r="BP35" s="60"/>
      <c r="BQ35" s="60"/>
      <c r="BR35" s="60"/>
      <c r="BS35" s="60"/>
      <c r="BT35" s="60"/>
      <c r="BU35" s="60"/>
      <c r="BV35" s="1"/>
      <c r="BW35" s="41"/>
      <c r="BX35" s="41"/>
      <c r="BY35" s="41"/>
      <c r="BZ35" s="41"/>
      <c r="CA35" s="41"/>
      <c r="CB35" s="41"/>
      <c r="CC35" s="41"/>
      <c r="CD35" s="41"/>
      <c r="CE35" s="41"/>
      <c r="CI35" s="41"/>
      <c r="CJ35" s="41"/>
    </row>
    <row r="36" spans="1:88" ht="25.5" customHeight="1" thickBot="1">
      <c r="A36" s="586"/>
      <c r="B36" s="1269" t="s">
        <v>184</v>
      </c>
      <c r="C36" s="1270"/>
      <c r="D36" s="584"/>
      <c r="E36" s="587" t="s">
        <v>185</v>
      </c>
      <c r="F36" s="441"/>
      <c r="G36" s="1267" t="s">
        <v>186</v>
      </c>
      <c r="H36" s="1268"/>
      <c r="I36" s="441"/>
      <c r="K36" s="791"/>
      <c r="L36" s="1258" t="s">
        <v>758</v>
      </c>
      <c r="M36" s="1259"/>
      <c r="N36" s="1568" t="s">
        <v>759</v>
      </c>
      <c r="O36" s="1569"/>
      <c r="P36" s="1569"/>
      <c r="Q36" s="1569"/>
      <c r="R36" s="1569"/>
      <c r="S36" s="1569"/>
      <c r="T36" s="1569"/>
      <c r="U36" s="1569"/>
      <c r="V36" s="1569"/>
      <c r="W36" s="1569"/>
      <c r="X36" s="1569"/>
      <c r="Y36" s="1570"/>
      <c r="Z36" s="606"/>
      <c r="AA36" s="605" t="str">
        <f>IF(Z36="Yes","Please fill out either P8 LT2 Bin2 (if monitoring turbidity to control Cryptosporidium) or P9 UV (if using UV treatment for Cryptosporidium)"," ")</f>
        <v xml:space="preserve"> </v>
      </c>
      <c r="AB36" s="59"/>
      <c r="AO36" s="59"/>
      <c r="AP36" s="73"/>
      <c r="AQ36" s="73"/>
      <c r="AR36" s="865"/>
      <c r="BE36" s="850"/>
      <c r="BF36" s="58"/>
      <c r="BG36" s="58"/>
      <c r="BH36" s="58"/>
      <c r="BI36" s="12"/>
      <c r="BJ36" s="59"/>
      <c r="BK36" s="59"/>
      <c r="BL36" s="59"/>
      <c r="BM36" s="59"/>
      <c r="BN36" s="60"/>
      <c r="BO36" s="60"/>
      <c r="BP36" s="60"/>
      <c r="BQ36" s="60"/>
      <c r="BR36" s="60"/>
      <c r="BS36" s="60"/>
      <c r="BT36" s="60"/>
      <c r="BU36" s="60"/>
      <c r="BV36" s="42"/>
      <c r="BW36" s="41"/>
      <c r="BX36" s="41"/>
      <c r="BY36" s="41"/>
      <c r="BZ36" s="41"/>
      <c r="CA36" s="41"/>
      <c r="CB36" s="41"/>
      <c r="CC36" s="41"/>
      <c r="CD36" s="41"/>
      <c r="CE36" s="41"/>
      <c r="CI36" s="41"/>
      <c r="CJ36" s="41"/>
    </row>
    <row r="37" spans="1:88" ht="27.75" customHeight="1" thickBot="1">
      <c r="A37" s="584"/>
      <c r="B37" s="1271"/>
      <c r="C37" s="1272"/>
      <c r="D37" s="588"/>
      <c r="E37" s="589" t="s">
        <v>187</v>
      </c>
      <c r="F37" s="585"/>
      <c r="G37" s="590"/>
      <c r="H37" s="591" t="s">
        <v>188</v>
      </c>
      <c r="I37" s="585"/>
      <c r="J37" s="16"/>
      <c r="K37" s="861"/>
      <c r="L37" s="1260"/>
      <c r="M37" s="1261"/>
      <c r="N37" s="1262" t="s">
        <v>189</v>
      </c>
      <c r="O37" s="1263"/>
      <c r="P37" s="1263"/>
      <c r="Q37" s="1263"/>
      <c r="R37" s="1263"/>
      <c r="S37" s="1263"/>
      <c r="T37" s="1263"/>
      <c r="U37" s="1263"/>
      <c r="V37" s="1263"/>
      <c r="W37" s="1263"/>
      <c r="X37" s="1263"/>
      <c r="Y37" s="1264"/>
      <c r="Z37" s="744" t="str">
        <f>IF(Z36="Y",(IFERROR((COUNTIF($D$4:$I$34,"&gt;0.150"))/$I$35,"  ")),"  ")</f>
        <v xml:space="preserve">  </v>
      </c>
      <c r="AA37" s="545"/>
      <c r="AB37" s="600"/>
      <c r="AP37" s="75"/>
      <c r="AQ37" s="75"/>
      <c r="AR37" s="866"/>
      <c r="BE37" s="850"/>
      <c r="BF37" s="58"/>
      <c r="BG37" s="58"/>
      <c r="BH37" s="58"/>
      <c r="BI37" s="12"/>
      <c r="BJ37" s="59"/>
      <c r="BK37" s="59"/>
      <c r="BL37" s="59"/>
      <c r="BM37" s="59"/>
      <c r="BN37" s="60"/>
      <c r="BO37" s="60"/>
      <c r="BP37" s="60"/>
      <c r="BQ37" s="60"/>
      <c r="BR37" s="60"/>
      <c r="BS37" s="60"/>
      <c r="BT37" s="60"/>
      <c r="BU37" s="60"/>
      <c r="BV37" s="1"/>
      <c r="BW37" s="41"/>
      <c r="BX37" s="41"/>
      <c r="BY37" s="41"/>
      <c r="BZ37" s="41"/>
      <c r="CA37" s="41"/>
      <c r="CB37" s="41"/>
      <c r="CC37" s="41"/>
      <c r="CD37" s="41"/>
      <c r="CE37" s="41"/>
      <c r="CF37" s="2"/>
      <c r="CG37" s="41"/>
      <c r="CH37" s="41"/>
      <c r="CI37" s="41"/>
      <c r="CJ37" s="41"/>
    </row>
    <row r="38" spans="1:88" ht="24" customHeight="1" thickBot="1">
      <c r="A38" s="139" t="s">
        <v>190</v>
      </c>
      <c r="B38" s="16"/>
      <c r="C38" s="16"/>
      <c r="D38" s="238" t="s">
        <v>191</v>
      </c>
      <c r="E38" s="123">
        <f>IF(COUNTIF(D4:I34,"&gt;0.104"),COUNTIF(D4:I34,"&gt;0.104"),0)</f>
        <v>0</v>
      </c>
      <c r="F38" s="238" t="s">
        <v>192</v>
      </c>
      <c r="G38" s="123">
        <f>IF(COUNTIF(D4:I34,"&gt;0.304"),COUNTIF(D4:I34,"&gt;0.304"),0)</f>
        <v>0</v>
      </c>
      <c r="H38" s="238" t="s">
        <v>193</v>
      </c>
      <c r="I38" s="123">
        <f>IF(COUNTIF(D4:I34,"&gt;1.040"),COUNTIF(D4:I34,"&gt;1.040"),0)</f>
        <v>0</v>
      </c>
      <c r="J38" s="169" t="s">
        <v>125</v>
      </c>
      <c r="K38" s="855"/>
      <c r="L38" s="1260"/>
      <c r="M38" s="1261"/>
      <c r="N38" s="1265" t="s">
        <v>194</v>
      </c>
      <c r="O38" s="1265"/>
      <c r="P38" s="1265"/>
      <c r="Q38" s="1265"/>
      <c r="R38" s="1265"/>
      <c r="S38" s="1265"/>
      <c r="T38" s="1265"/>
      <c r="U38" s="1265"/>
      <c r="V38" s="1265"/>
      <c r="W38" s="1265"/>
      <c r="X38" s="1265"/>
      <c r="Y38" s="1266"/>
      <c r="Z38" s="744" t="str">
        <f>IF(LEN($Z$37)=2," ",(IF($Z$37&gt;=0.05,"No","Yes")))</f>
        <v xml:space="preserve"> </v>
      </c>
      <c r="AA38" s="346"/>
      <c r="AB38" s="188"/>
      <c r="AR38" s="791"/>
      <c r="BE38" s="791"/>
      <c r="BI38" s="14"/>
      <c r="BJ38" s="59"/>
      <c r="BK38" s="59"/>
      <c r="BL38" s="59"/>
      <c r="BM38" s="59"/>
      <c r="BN38" s="60"/>
      <c r="BO38" s="60"/>
      <c r="BP38" s="60"/>
      <c r="BQ38" s="60"/>
      <c r="BR38" s="60"/>
      <c r="BS38" s="60"/>
      <c r="BT38" s="60"/>
      <c r="BU38" s="60"/>
      <c r="BV38" s="1"/>
      <c r="BW38" s="41"/>
      <c r="BX38" s="41"/>
      <c r="BY38" s="41"/>
      <c r="BZ38" s="41"/>
      <c r="CA38" s="41"/>
      <c r="CB38" s="41"/>
      <c r="CC38" s="41"/>
      <c r="CD38" s="41"/>
      <c r="CE38" s="41"/>
      <c r="CF38" s="41"/>
      <c r="CG38" s="2"/>
      <c r="CH38" s="41"/>
      <c r="CI38" s="41"/>
      <c r="CJ38" s="41"/>
    </row>
    <row r="39" spans="1:88" ht="27.75" customHeight="1" thickBot="1">
      <c r="A39" s="1255" t="s">
        <v>195</v>
      </c>
      <c r="B39" s="1255"/>
      <c r="C39" s="1255"/>
      <c r="D39" s="1255"/>
      <c r="E39" s="1255"/>
      <c r="F39" s="238" t="s">
        <v>193</v>
      </c>
      <c r="G39" s="651" t="str">
        <f>IF((I37="Y"),COUNTIF(D4:I34,"&gt;1.040"),"0")</f>
        <v>0</v>
      </c>
      <c r="H39" s="238" t="s">
        <v>196</v>
      </c>
      <c r="I39" s="651" t="str">
        <f>IF((I37="Y"),COUNTIF(D4:I34,"&gt;5.040"),"0")</f>
        <v>0</v>
      </c>
      <c r="J39" s="167" t="s">
        <v>123</v>
      </c>
      <c r="K39" s="855"/>
      <c r="O39" s="567"/>
      <c r="P39" s="568"/>
      <c r="Q39" s="568"/>
      <c r="R39" s="568"/>
      <c r="S39" s="568"/>
      <c r="T39" s="568"/>
      <c r="U39" s="568"/>
      <c r="V39" s="568"/>
      <c r="W39" s="568"/>
      <c r="X39" s="568"/>
      <c r="Y39" s="568"/>
      <c r="AA39" s="346"/>
      <c r="AB39" s="189"/>
      <c r="AR39" s="791"/>
      <c r="BE39" s="791"/>
    </row>
    <row r="40" spans="1:88" ht="27" customHeight="1" thickBot="1">
      <c r="A40" s="658"/>
      <c r="B40" s="1273" t="s">
        <v>197</v>
      </c>
      <c r="C40" s="1274"/>
      <c r="D40" s="1274"/>
      <c r="E40" s="1274"/>
      <c r="F40" s="1274"/>
      <c r="G40" s="1274"/>
      <c r="H40" s="1274"/>
      <c r="I40" s="732"/>
      <c r="J40" s="167"/>
      <c r="K40" s="855"/>
      <c r="L40" s="1275" t="str">
        <f>IF(L43&gt;0,"Reported IFE Maximum Values &gt; 0.5 NTU - Complete Page 3A"," ")</f>
        <v xml:space="preserve"> </v>
      </c>
      <c r="M40" s="1275"/>
      <c r="N40" s="1275"/>
      <c r="O40" s="1275"/>
      <c r="P40" s="1275"/>
      <c r="Q40" s="1275"/>
      <c r="R40" s="1275"/>
      <c r="S40" s="1275"/>
      <c r="T40" s="1275"/>
      <c r="U40" s="1275"/>
      <c r="V40" s="1275"/>
      <c r="W40" s="1275"/>
      <c r="X40" s="1275"/>
      <c r="Y40" s="1275"/>
      <c r="Z40" s="1275"/>
      <c r="AA40" s="346"/>
      <c r="AB40" s="189"/>
      <c r="AR40" s="791"/>
      <c r="BE40" s="791"/>
    </row>
    <row r="41" spans="1:88" ht="13.5" customHeight="1">
      <c r="A41" s="851"/>
      <c r="B41" s="852"/>
      <c r="C41" s="852"/>
      <c r="D41" s="852"/>
      <c r="E41" s="852"/>
      <c r="F41" s="852"/>
      <c r="G41" s="852"/>
      <c r="H41" s="852"/>
      <c r="I41" s="853"/>
      <c r="J41" s="854"/>
      <c r="K41" s="855"/>
      <c r="L41" s="856"/>
      <c r="M41" s="856"/>
      <c r="N41" s="856"/>
      <c r="O41" s="856"/>
      <c r="P41" s="856"/>
      <c r="Q41" s="856"/>
      <c r="R41" s="856"/>
      <c r="S41" s="856"/>
      <c r="T41" s="856"/>
      <c r="U41" s="856"/>
      <c r="V41" s="856"/>
      <c r="W41" s="856"/>
      <c r="X41" s="856"/>
      <c r="Y41" s="856"/>
      <c r="Z41" s="856"/>
      <c r="AA41" s="817"/>
      <c r="AB41" s="857"/>
      <c r="AC41" s="791"/>
      <c r="AD41" s="791"/>
      <c r="AE41" s="791"/>
      <c r="AF41" s="791"/>
      <c r="AG41" s="791"/>
      <c r="AH41" s="791"/>
      <c r="AI41" s="791"/>
      <c r="AJ41" s="791"/>
      <c r="AK41" s="791"/>
      <c r="AL41" s="791"/>
      <c r="AM41" s="791"/>
      <c r="AN41" s="791"/>
      <c r="AO41" s="791"/>
      <c r="AP41" s="791"/>
      <c r="AQ41" s="791"/>
      <c r="AR41" s="791"/>
      <c r="AS41" s="791"/>
      <c r="AT41" s="791"/>
      <c r="AU41" s="791"/>
      <c r="AV41" s="791"/>
      <c r="AW41" s="791"/>
      <c r="AX41" s="791"/>
      <c r="AY41" s="791"/>
      <c r="AZ41" s="791"/>
      <c r="BA41" s="791"/>
      <c r="BB41" s="791"/>
      <c r="BC41" s="791"/>
      <c r="BD41" s="791"/>
      <c r="BE41" s="791"/>
    </row>
    <row r="42" spans="1:88" ht="30" customHeight="1">
      <c r="A42" s="1158" t="s">
        <v>634</v>
      </c>
      <c r="B42" s="1158"/>
      <c r="C42" s="1158"/>
      <c r="D42" s="1158"/>
      <c r="E42" s="1158"/>
      <c r="F42" s="1158"/>
      <c r="G42" s="1158"/>
      <c r="H42" s="1158"/>
      <c r="I42" s="1158"/>
      <c r="J42" s="1158"/>
      <c r="K42" s="168"/>
      <c r="L42" s="1256"/>
      <c r="M42" s="1256"/>
      <c r="N42" s="1256"/>
      <c r="O42" s="1256"/>
      <c r="P42" s="1256"/>
      <c r="Q42" s="1256"/>
      <c r="R42" s="1256"/>
      <c r="S42" s="1256"/>
      <c r="T42" s="1256"/>
      <c r="U42" s="1256"/>
      <c r="V42" s="1256"/>
      <c r="W42" s="1256"/>
      <c r="X42" s="1256"/>
      <c r="Y42" s="1256"/>
      <c r="Z42" s="1256"/>
    </row>
    <row r="43" spans="1:88" ht="12.75" customHeight="1">
      <c r="A43" s="116"/>
      <c r="B43" s="282"/>
      <c r="C43" s="282"/>
      <c r="D43" s="282"/>
      <c r="E43" s="282"/>
      <c r="F43" s="282"/>
      <c r="G43" s="282"/>
      <c r="H43" s="282"/>
      <c r="I43" s="282"/>
      <c r="J43" s="282"/>
      <c r="K43" s="168"/>
      <c r="L43" s="1257">
        <f>(COUNTIF(M4:AP34,"&gt;0.499"))</f>
        <v>0</v>
      </c>
      <c r="M43" s="1257"/>
      <c r="N43" s="1257"/>
      <c r="O43" s="168"/>
      <c r="P43" s="168"/>
      <c r="Q43" s="168"/>
      <c r="R43" s="168"/>
      <c r="S43" s="168"/>
      <c r="T43" s="168"/>
      <c r="U43" s="168"/>
      <c r="V43" s="168"/>
      <c r="W43" s="168"/>
      <c r="X43" s="168"/>
      <c r="Y43" s="168"/>
      <c r="Z43" s="168"/>
    </row>
    <row r="44" spans="1:88">
      <c r="A44" s="745" t="s">
        <v>198</v>
      </c>
      <c r="B44" s="746"/>
      <c r="C44" s="746"/>
      <c r="D44" s="746"/>
      <c r="E44" s="746"/>
      <c r="F44" s="746"/>
      <c r="G44" s="746"/>
      <c r="H44" s="746"/>
      <c r="I44" s="746"/>
      <c r="J44" s="747"/>
      <c r="K44" s="168"/>
      <c r="L44" s="168"/>
      <c r="M44" s="168"/>
      <c r="N44" s="168"/>
      <c r="O44" s="168"/>
      <c r="P44" s="168"/>
      <c r="Q44" s="168"/>
      <c r="R44" s="168"/>
      <c r="S44" s="168"/>
      <c r="T44" s="168"/>
      <c r="U44" s="168"/>
      <c r="V44" s="168"/>
      <c r="W44" s="168"/>
      <c r="X44" s="168"/>
      <c r="Y44" s="168"/>
      <c r="Z44" s="168"/>
    </row>
    <row r="45" spans="1:88" ht="12.75" customHeight="1">
      <c r="A45" s="1278" t="s">
        <v>199</v>
      </c>
      <c r="B45" s="1279"/>
      <c r="C45" s="1279"/>
      <c r="D45" s="1279"/>
      <c r="E45" s="1279"/>
      <c r="F45" s="1279"/>
      <c r="G45" s="1279"/>
      <c r="H45" s="1279"/>
      <c r="I45" s="1279"/>
      <c r="J45" s="1280"/>
      <c r="K45" s="168"/>
      <c r="L45" s="168"/>
      <c r="M45" s="168"/>
      <c r="N45" s="168"/>
      <c r="O45" s="168"/>
      <c r="P45" s="168"/>
      <c r="Q45" s="168"/>
      <c r="R45" s="168"/>
      <c r="S45" s="168"/>
      <c r="T45" s="168"/>
      <c r="U45" s="168"/>
      <c r="V45" s="168"/>
      <c r="W45" s="168"/>
      <c r="X45" s="168"/>
      <c r="Y45" s="168"/>
      <c r="Z45" s="168"/>
    </row>
    <row r="46" spans="1:88">
      <c r="A46" s="1281" t="s">
        <v>200</v>
      </c>
      <c r="B46" s="1282"/>
      <c r="C46" s="1282"/>
      <c r="D46" s="1282"/>
      <c r="E46" s="1282"/>
      <c r="F46" s="1282"/>
      <c r="G46" s="1282"/>
      <c r="H46" s="1282"/>
      <c r="I46" s="1282"/>
      <c r="J46" s="1283"/>
      <c r="K46" s="168"/>
      <c r="L46" s="168"/>
      <c r="M46" s="168"/>
      <c r="N46" s="168"/>
      <c r="O46" s="168"/>
      <c r="P46" s="168"/>
      <c r="Q46" s="168"/>
      <c r="R46" s="168"/>
      <c r="S46" s="168"/>
      <c r="T46" s="168"/>
      <c r="U46" s="168"/>
      <c r="V46" s="168"/>
      <c r="W46" s="168"/>
      <c r="X46" s="168"/>
      <c r="Y46" s="168"/>
      <c r="Z46" s="168"/>
    </row>
    <row r="47" spans="1:88">
      <c r="A47" s="116"/>
      <c r="B47" s="116"/>
      <c r="C47" s="116"/>
      <c r="D47" s="116"/>
      <c r="E47" s="116"/>
      <c r="F47" s="116"/>
      <c r="G47" s="116"/>
      <c r="H47" s="116"/>
      <c r="I47" s="116"/>
      <c r="J47" s="116"/>
      <c r="K47" s="168"/>
      <c r="L47" s="168"/>
      <c r="M47" s="733"/>
      <c r="N47" s="733"/>
      <c r="O47" s="733"/>
      <c r="P47" s="733"/>
      <c r="Q47" s="733"/>
      <c r="R47" s="733"/>
      <c r="S47" s="733"/>
      <c r="T47" s="168"/>
      <c r="U47" s="168"/>
      <c r="V47" s="168"/>
      <c r="W47" s="168"/>
      <c r="X47" s="168"/>
      <c r="Y47" s="168"/>
      <c r="Z47" s="168"/>
    </row>
    <row r="48" spans="1:88">
      <c r="A48" s="1284" t="s">
        <v>635</v>
      </c>
      <c r="B48" s="1285"/>
      <c r="C48" s="1285"/>
      <c r="D48" s="1285"/>
      <c r="E48" s="1285"/>
      <c r="F48" s="1285"/>
      <c r="G48" s="1285"/>
      <c r="H48" s="1285"/>
      <c r="I48" s="1285"/>
      <c r="J48" s="1286"/>
      <c r="K48" s="168"/>
      <c r="L48" s="745" t="s">
        <v>201</v>
      </c>
      <c r="M48" s="746"/>
      <c r="N48" s="746"/>
      <c r="O48" s="746"/>
      <c r="P48" s="746"/>
      <c r="Q48" s="746"/>
      <c r="R48" s="746"/>
      <c r="S48" s="747"/>
      <c r="T48" s="168"/>
      <c r="U48" s="168"/>
      <c r="V48" s="168"/>
      <c r="W48" s="168"/>
      <c r="X48" s="168"/>
      <c r="Y48" s="168"/>
      <c r="Z48" s="168"/>
    </row>
    <row r="49" spans="1:26">
      <c r="A49" s="1287"/>
      <c r="B49" s="1288"/>
      <c r="C49" s="1288"/>
      <c r="D49" s="1288"/>
      <c r="E49" s="1288"/>
      <c r="F49" s="1288"/>
      <c r="G49" s="1288"/>
      <c r="H49" s="1288"/>
      <c r="I49" s="1288"/>
      <c r="J49" s="1289"/>
      <c r="K49" s="168"/>
      <c r="L49" s="191" t="s">
        <v>202</v>
      </c>
      <c r="M49" s="116"/>
      <c r="N49" s="116"/>
      <c r="O49" s="116"/>
      <c r="P49" s="1276" t="s">
        <v>203</v>
      </c>
      <c r="Q49" s="1276"/>
      <c r="R49" s="1276"/>
      <c r="S49" s="1277"/>
      <c r="T49" s="168"/>
      <c r="U49" s="168"/>
      <c r="V49" s="168"/>
      <c r="W49" s="168"/>
      <c r="X49" s="168"/>
      <c r="Y49" s="168"/>
      <c r="Z49" s="168"/>
    </row>
    <row r="50" spans="1:26" ht="12.75" customHeight="1">
      <c r="A50" s="1290"/>
      <c r="B50" s="1291"/>
      <c r="C50" s="1291"/>
      <c r="D50" s="1291"/>
      <c r="E50" s="1291"/>
      <c r="F50" s="1291"/>
      <c r="G50" s="1291"/>
      <c r="H50" s="1291"/>
      <c r="I50" s="1291"/>
      <c r="J50" s="1292"/>
      <c r="K50" s="168"/>
      <c r="L50" s="191" t="s">
        <v>204</v>
      </c>
      <c r="M50" s="116"/>
      <c r="N50" s="116"/>
      <c r="O50" s="116"/>
      <c r="P50" s="168"/>
      <c r="Q50" s="168"/>
      <c r="R50" s="168"/>
      <c r="S50" s="734"/>
      <c r="T50" s="168"/>
      <c r="U50" s="168"/>
      <c r="V50" s="168"/>
      <c r="W50" s="168"/>
      <c r="X50" s="168"/>
      <c r="Y50" s="168"/>
      <c r="Z50" s="168"/>
    </row>
    <row r="51" spans="1:26">
      <c r="A51" s="116"/>
      <c r="B51" s="282"/>
      <c r="C51" s="282"/>
      <c r="D51" s="282"/>
      <c r="E51" s="282"/>
      <c r="F51" s="282"/>
      <c r="G51" s="282"/>
      <c r="H51" s="282"/>
      <c r="I51" s="282"/>
      <c r="J51" s="282"/>
      <c r="K51" s="168"/>
      <c r="L51" s="748" t="s">
        <v>205</v>
      </c>
      <c r="M51" s="749"/>
      <c r="N51" s="749"/>
      <c r="O51" s="749"/>
      <c r="P51" s="735"/>
      <c r="Q51" s="735"/>
      <c r="R51" s="735"/>
      <c r="S51" s="736"/>
      <c r="T51" s="168"/>
      <c r="U51" s="168"/>
      <c r="V51" s="168"/>
      <c r="W51" s="168"/>
      <c r="X51" s="168"/>
      <c r="Y51" s="168"/>
      <c r="Z51" s="168"/>
    </row>
    <row r="52" spans="1:26">
      <c r="A52" s="116" t="s">
        <v>206</v>
      </c>
      <c r="B52" s="116"/>
      <c r="C52" s="116"/>
      <c r="D52" s="116"/>
      <c r="E52" s="116"/>
      <c r="F52" s="116"/>
      <c r="G52" s="116"/>
      <c r="H52" s="116"/>
      <c r="I52" s="116"/>
      <c r="J52" s="116"/>
      <c r="K52" s="168"/>
      <c r="L52" s="168"/>
      <c r="M52" s="168"/>
      <c r="N52" s="168"/>
      <c r="O52" s="168"/>
      <c r="P52" s="168"/>
      <c r="Q52" s="168"/>
      <c r="R52" s="168"/>
      <c r="S52" s="168"/>
      <c r="T52" s="168"/>
      <c r="U52" s="168"/>
      <c r="V52" s="168"/>
      <c r="W52" s="168"/>
      <c r="X52" s="168"/>
      <c r="Y52" s="168"/>
      <c r="Z52" s="168"/>
    </row>
    <row r="53" spans="1:26">
      <c r="A53" s="116" t="s">
        <v>207</v>
      </c>
      <c r="B53" s="116"/>
      <c r="C53" s="116"/>
      <c r="D53" s="116"/>
      <c r="E53" s="116"/>
      <c r="F53" s="116"/>
      <c r="G53" s="116"/>
      <c r="H53" s="116"/>
      <c r="I53" s="116"/>
      <c r="J53" s="116"/>
      <c r="K53" s="168"/>
      <c r="L53" s="168"/>
      <c r="M53" s="168"/>
      <c r="N53" s="168"/>
      <c r="O53" s="168"/>
      <c r="P53" s="168"/>
      <c r="Q53" s="168"/>
      <c r="R53" s="168"/>
      <c r="S53" s="168"/>
      <c r="T53" s="168"/>
      <c r="U53" s="168"/>
      <c r="V53" s="168"/>
      <c r="W53" s="168"/>
      <c r="X53" s="168"/>
      <c r="Y53" s="168"/>
      <c r="Z53" s="168"/>
    </row>
    <row r="55" spans="1:26">
      <c r="A55" s="139" t="s">
        <v>126</v>
      </c>
    </row>
    <row r="56" spans="1:26">
      <c r="A56" s="139" t="s">
        <v>208</v>
      </c>
      <c r="B56" s="116" t="s">
        <v>209</v>
      </c>
    </row>
    <row r="57" spans="1:26">
      <c r="A57" s="139" t="s">
        <v>210</v>
      </c>
    </row>
    <row r="58" spans="1:26">
      <c r="B58" s="116" t="s">
        <v>211</v>
      </c>
    </row>
    <row r="59" spans="1:26">
      <c r="B59" s="116" t="s">
        <v>212</v>
      </c>
    </row>
    <row r="60" spans="1:26">
      <c r="B60" s="116" t="s">
        <v>213</v>
      </c>
    </row>
    <row r="61" spans="1:26">
      <c r="B61" s="116" t="s">
        <v>214</v>
      </c>
    </row>
    <row r="62" spans="1:26">
      <c r="B62" s="116" t="s">
        <v>215</v>
      </c>
    </row>
    <row r="63" spans="1:26">
      <c r="B63" s="116" t="s">
        <v>216</v>
      </c>
    </row>
    <row r="64" spans="1:26">
      <c r="B64" s="116" t="s">
        <v>217</v>
      </c>
    </row>
    <row r="65" spans="2:2">
      <c r="B65" s="116" t="s">
        <v>218</v>
      </c>
    </row>
    <row r="66" spans="2:2">
      <c r="B66" s="116" t="s">
        <v>219</v>
      </c>
    </row>
  </sheetData>
  <sheetProtection algorithmName="SHA-512" hashValue="TD6j0bT02RsFuCZ7qTO60o1AmzAYjvP5hc+N2OfGX8oOmtZb4qAEXG6jBVK7HafIrdB8mUmpl6glZvWQ/CsHtA==" saltValue="hDS5LApq1NWRywZYFgMzTA==" spinCount="100000" sheet="1" formatCells="0" formatColumns="0" selectLockedCells="1"/>
  <mergeCells count="37">
    <mergeCell ref="A2:A3"/>
    <mergeCell ref="M2:AA2"/>
    <mergeCell ref="J2:J3"/>
    <mergeCell ref="I2:I3"/>
    <mergeCell ref="H2:H3"/>
    <mergeCell ref="L2:L3"/>
    <mergeCell ref="E2:E3"/>
    <mergeCell ref="D2:D3"/>
    <mergeCell ref="C2:C3"/>
    <mergeCell ref="B2:B3"/>
    <mergeCell ref="B1:H1"/>
    <mergeCell ref="M1:X1"/>
    <mergeCell ref="AT1:BB1"/>
    <mergeCell ref="AT2:AT3"/>
    <mergeCell ref="AS2:AS3"/>
    <mergeCell ref="AU2:BD2"/>
    <mergeCell ref="G2:G3"/>
    <mergeCell ref="F2:F3"/>
    <mergeCell ref="AB2:AP2"/>
    <mergeCell ref="AC1:AO1"/>
    <mergeCell ref="AQ2:AQ3"/>
    <mergeCell ref="P49:S49"/>
    <mergeCell ref="A45:J45"/>
    <mergeCell ref="A46:J46"/>
    <mergeCell ref="A48:J50"/>
    <mergeCell ref="A42:J42"/>
    <mergeCell ref="A39:E39"/>
    <mergeCell ref="L42:Z42"/>
    <mergeCell ref="L43:N43"/>
    <mergeCell ref="L36:M38"/>
    <mergeCell ref="N36:Y36"/>
    <mergeCell ref="N37:Y37"/>
    <mergeCell ref="N38:Y38"/>
    <mergeCell ref="G36:H36"/>
    <mergeCell ref="B36:C37"/>
    <mergeCell ref="B40:H40"/>
    <mergeCell ref="L40:Z40"/>
  </mergeCells>
  <phoneticPr fontId="0" type="noConversion"/>
  <conditionalFormatting sqref="C4:C35 B35">
    <cfRule type="cellIs" priority="12" stopIfTrue="1" operator="greaterThan">
      <formula>"1,2,3,4,5"</formula>
    </cfRule>
  </conditionalFormatting>
  <conditionalFormatting sqref="D4:I34">
    <cfRule type="cellIs" dxfId="78" priority="9" operator="between">
      <formula>0.301</formula>
      <formula>1.01</formula>
    </cfRule>
    <cfRule type="cellIs" dxfId="77" priority="10" operator="lessThan">
      <formula>0.01</formula>
    </cfRule>
    <cfRule type="cellIs" dxfId="76" priority="11" operator="greaterThan">
      <formula>1</formula>
    </cfRule>
  </conditionalFormatting>
  <conditionalFormatting sqref="M4:AP34 AR4:AR34">
    <cfRule type="cellIs" dxfId="75" priority="2" operator="greaterThan">
      <formula>0.499</formula>
    </cfRule>
    <cfRule type="cellIs" dxfId="74" priority="3" operator="greaterThan">
      <formula>0.1</formula>
    </cfRule>
  </conditionalFormatting>
  <conditionalFormatting sqref="AU4:BD34">
    <cfRule type="cellIs" dxfId="73" priority="1" operator="between">
      <formula>1</formula>
      <formula>2</formula>
    </cfRule>
    <cfRule type="cellIs" dxfId="72" priority="8" operator="greaterThan">
      <formula>2</formula>
    </cfRule>
  </conditionalFormatting>
  <dataValidations xWindow="616" yWindow="768" count="3">
    <dataValidation type="list" errorStyle="information" allowBlank="1" showInputMessage="1" showErrorMessage="1" errorTitle="Invalid Entry" error="You must either use Y or N ." prompt="Select Y or N" sqref="F36:F37 I36:I37" xr:uid="{00000000-0002-0000-0300-000000000000}">
      <formula1>$J$38:$J$39</formula1>
    </dataValidation>
    <dataValidation type="list" allowBlank="1" showInputMessage="1" showErrorMessage="1" prompt="Select Y or N" sqref="Z36" xr:uid="{6EB95FD3-4C7A-445E-8740-B8E0C03F7BC7}">
      <formula1>$J$38:$J$39</formula1>
    </dataValidation>
    <dataValidation type="list" allowBlank="1" showInputMessage="1" showErrorMessage="1" sqref="I40" xr:uid="{BB2AEA16-8D5D-4F80-8EAB-9407B6627738}">
      <formula1>J38:J39</formula1>
    </dataValidation>
  </dataValidations>
  <hyperlinks>
    <hyperlink ref="P49" r:id="rId1" display="DOW Web Page" xr:uid="{00000000-0004-0000-0300-000000000000}"/>
    <hyperlink ref="A1" location="Bookmarks!A1" display="Return to Bookmarks" xr:uid="{B08FE1A4-DB83-4F5B-A54A-9BF2F98E429A}"/>
  </hyperlinks>
  <printOptions horizontalCentered="1" verticalCentered="1"/>
  <pageMargins left="1.25" right="0.5" top="0.75" bottom="0.5" header="0.25" footer="0"/>
  <pageSetup scale="85" orientation="portrait" r:id="rId2"/>
  <headerFooter alignWithMargins="0">
    <oddHeader>&amp;LMonthly Operating Report
Turbidity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6" tint="0.79998168889431442"/>
    <pageSetUpPr fitToPage="1"/>
  </sheetPr>
  <dimension ref="A1:N42"/>
  <sheetViews>
    <sheetView showGridLines="0" zoomScale="90" zoomScaleNormal="90" zoomScalePageLayoutView="90" workbookViewId="0">
      <selection activeCell="B7" sqref="B7"/>
    </sheetView>
  </sheetViews>
  <sheetFormatPr defaultRowHeight="12.75"/>
  <cols>
    <col min="1" max="1" width="2" customWidth="1"/>
    <col min="2" max="2" width="18.7109375" customWidth="1"/>
    <col min="3" max="3" width="14.28515625" customWidth="1"/>
    <col min="4" max="4" width="16.5703125" customWidth="1"/>
    <col min="5" max="5" width="16.7109375" customWidth="1"/>
    <col min="6" max="6" width="50.5703125" customWidth="1"/>
    <col min="7" max="7" width="26.28515625" customWidth="1"/>
    <col min="8" max="8" width="2.28515625" customWidth="1"/>
    <col min="9" max="11" width="15.7109375" customWidth="1"/>
  </cols>
  <sheetData>
    <row r="1" spans="1:10" ht="21" customHeight="1">
      <c r="A1" s="116"/>
      <c r="B1" s="1090" t="s">
        <v>730</v>
      </c>
      <c r="C1" s="1317" t="s">
        <v>220</v>
      </c>
      <c r="D1" s="1318"/>
      <c r="E1" s="1318"/>
      <c r="F1" s="1318"/>
      <c r="G1" s="1319"/>
      <c r="H1" s="791"/>
    </row>
    <row r="2" spans="1:10" ht="22.15" customHeight="1">
      <c r="B2" s="1320" t="s">
        <v>221</v>
      </c>
      <c r="C2" s="1321"/>
      <c r="D2" s="1321"/>
      <c r="E2" s="1321"/>
      <c r="F2" s="1321"/>
      <c r="G2" s="1322"/>
      <c r="H2" s="791"/>
    </row>
    <row r="3" spans="1:10" ht="15">
      <c r="A3" s="116"/>
      <c r="B3" s="1323" t="s">
        <v>222</v>
      </c>
      <c r="C3" s="1324"/>
      <c r="D3" s="1324"/>
      <c r="E3" s="1324"/>
      <c r="F3" s="868"/>
      <c r="G3" s="869" t="s">
        <v>223</v>
      </c>
      <c r="H3" s="873"/>
    </row>
    <row r="4" spans="1:10" ht="16.899999999999999" customHeight="1">
      <c r="A4" s="116"/>
      <c r="B4" s="1323"/>
      <c r="C4" s="1324"/>
      <c r="D4" s="1324"/>
      <c r="E4" s="1324"/>
      <c r="F4" s="868"/>
      <c r="G4" s="872" t="s">
        <v>224</v>
      </c>
      <c r="H4" s="791"/>
    </row>
    <row r="5" spans="1:10" ht="27" customHeight="1" thickBot="1">
      <c r="A5" s="116"/>
      <c r="B5" s="1325"/>
      <c r="C5" s="1326"/>
      <c r="D5" s="1326"/>
      <c r="E5" s="1326"/>
      <c r="F5" s="870"/>
      <c r="G5" s="871" t="s">
        <v>225</v>
      </c>
      <c r="H5" s="874"/>
      <c r="I5" s="17"/>
      <c r="J5" s="17"/>
    </row>
    <row r="6" spans="1:10" ht="35.25" customHeight="1" thickBot="1">
      <c r="A6" s="116"/>
      <c r="B6" s="131" t="s">
        <v>226</v>
      </c>
      <c r="C6" s="132" t="s">
        <v>227</v>
      </c>
      <c r="D6" s="187" t="s">
        <v>228</v>
      </c>
      <c r="E6" s="132" t="s">
        <v>229</v>
      </c>
      <c r="F6" s="131" t="s">
        <v>230</v>
      </c>
      <c r="G6" s="132" t="s">
        <v>231</v>
      </c>
      <c r="H6" s="874"/>
      <c r="I6" s="17"/>
      <c r="J6" s="17"/>
    </row>
    <row r="7" spans="1:10" ht="25.15" customHeight="1">
      <c r="A7" s="116"/>
      <c r="B7" s="93"/>
      <c r="C7" s="680"/>
      <c r="D7" s="680"/>
      <c r="E7" s="680"/>
      <c r="F7" s="579"/>
      <c r="G7" s="681"/>
      <c r="H7" s="874"/>
      <c r="I7" s="17"/>
      <c r="J7" s="17"/>
    </row>
    <row r="8" spans="1:10" ht="25.15" customHeight="1">
      <c r="A8" s="116"/>
      <c r="B8" s="94"/>
      <c r="C8" s="682"/>
      <c r="D8" s="682"/>
      <c r="E8" s="682"/>
      <c r="F8" s="683"/>
      <c r="G8" s="684"/>
      <c r="H8" s="874"/>
      <c r="I8" s="17"/>
      <c r="J8" s="17"/>
    </row>
    <row r="9" spans="1:10" ht="25.15" customHeight="1">
      <c r="A9" s="116"/>
      <c r="B9" s="94"/>
      <c r="C9" s="682"/>
      <c r="D9" s="682"/>
      <c r="E9" s="682"/>
      <c r="F9" s="683"/>
      <c r="G9" s="684"/>
      <c r="H9" s="874"/>
      <c r="I9" s="17"/>
      <c r="J9" s="17"/>
    </row>
    <row r="10" spans="1:10" ht="25.15" customHeight="1">
      <c r="A10" s="116"/>
      <c r="B10" s="94"/>
      <c r="C10" s="682"/>
      <c r="D10" s="682"/>
      <c r="E10" s="682"/>
      <c r="F10" s="683"/>
      <c r="G10" s="684"/>
      <c r="H10" s="874"/>
      <c r="I10" s="17"/>
      <c r="J10" s="17"/>
    </row>
    <row r="11" spans="1:10" ht="25.15" customHeight="1">
      <c r="A11" s="116"/>
      <c r="B11" s="94"/>
      <c r="C11" s="682"/>
      <c r="D11" s="682"/>
      <c r="E11" s="682"/>
      <c r="F11" s="683"/>
      <c r="G11" s="684"/>
      <c r="H11" s="874"/>
      <c r="I11" s="17"/>
      <c r="J11" s="17"/>
    </row>
    <row r="12" spans="1:10" ht="25.15" customHeight="1">
      <c r="A12" s="116"/>
      <c r="B12" s="94"/>
      <c r="C12" s="682"/>
      <c r="D12" s="682"/>
      <c r="E12" s="682"/>
      <c r="F12" s="683"/>
      <c r="G12" s="684"/>
      <c r="H12" s="874"/>
      <c r="I12" s="17"/>
      <c r="J12" s="17"/>
    </row>
    <row r="13" spans="1:10" ht="25.15" customHeight="1">
      <c r="A13" s="116"/>
      <c r="B13" s="94"/>
      <c r="C13" s="682"/>
      <c r="D13" s="682"/>
      <c r="E13" s="682"/>
      <c r="F13" s="683"/>
      <c r="G13" s="684"/>
      <c r="H13" s="874"/>
      <c r="I13" s="17"/>
      <c r="J13" s="17"/>
    </row>
    <row r="14" spans="1:10" ht="25.15" customHeight="1">
      <c r="A14" s="116"/>
      <c r="B14" s="94"/>
      <c r="C14" s="682"/>
      <c r="D14" s="682"/>
      <c r="E14" s="682"/>
      <c r="F14" s="683"/>
      <c r="G14" s="684"/>
      <c r="H14" s="874"/>
      <c r="I14" s="17"/>
      <c r="J14" s="17"/>
    </row>
    <row r="15" spans="1:10" ht="25.15" customHeight="1">
      <c r="A15" s="116"/>
      <c r="B15" s="94"/>
      <c r="C15" s="682"/>
      <c r="D15" s="682"/>
      <c r="E15" s="682"/>
      <c r="F15" s="683"/>
      <c r="G15" s="684"/>
      <c r="H15" s="874"/>
      <c r="I15" s="17"/>
      <c r="J15" s="17"/>
    </row>
    <row r="16" spans="1:10" ht="25.15" customHeight="1">
      <c r="A16" s="116"/>
      <c r="B16" s="94"/>
      <c r="C16" s="682"/>
      <c r="D16" s="682"/>
      <c r="E16" s="682"/>
      <c r="F16" s="683"/>
      <c r="G16" s="684"/>
      <c r="H16" s="874"/>
      <c r="I16" s="17"/>
      <c r="J16" s="17"/>
    </row>
    <row r="17" spans="1:10" ht="25.15" customHeight="1">
      <c r="A17" s="116"/>
      <c r="B17" s="94"/>
      <c r="C17" s="682"/>
      <c r="D17" s="682"/>
      <c r="E17" s="682"/>
      <c r="F17" s="683"/>
      <c r="G17" s="684"/>
      <c r="H17" s="874"/>
      <c r="I17" s="17"/>
      <c r="J17" s="17"/>
    </row>
    <row r="18" spans="1:10" ht="25.15" customHeight="1">
      <c r="A18" s="116"/>
      <c r="B18" s="94"/>
      <c r="C18" s="682"/>
      <c r="D18" s="682"/>
      <c r="E18" s="682"/>
      <c r="F18" s="683"/>
      <c r="G18" s="684"/>
      <c r="H18" s="874"/>
      <c r="I18" s="17"/>
      <c r="J18" s="17"/>
    </row>
    <row r="19" spans="1:10" ht="25.15" customHeight="1">
      <c r="A19" s="116"/>
      <c r="B19" s="94"/>
      <c r="C19" s="682"/>
      <c r="D19" s="682"/>
      <c r="E19" s="682"/>
      <c r="F19" s="683"/>
      <c r="G19" s="684"/>
      <c r="H19" s="874"/>
      <c r="I19" s="17"/>
      <c r="J19" s="17"/>
    </row>
    <row r="20" spans="1:10" ht="25.15" customHeight="1" thickBot="1">
      <c r="A20" s="116"/>
      <c r="B20" s="95"/>
      <c r="C20" s="685"/>
      <c r="D20" s="685"/>
      <c r="E20" s="685"/>
      <c r="F20" s="686"/>
      <c r="G20" s="687"/>
      <c r="H20" s="874"/>
      <c r="I20" s="17"/>
      <c r="J20" s="17"/>
    </row>
    <row r="21" spans="1:10" ht="19.899999999999999" customHeight="1">
      <c r="A21" s="116"/>
      <c r="B21" s="133" t="s">
        <v>232</v>
      </c>
      <c r="C21" s="18"/>
      <c r="D21" s="18"/>
      <c r="E21" s="18"/>
      <c r="F21" s="641"/>
      <c r="G21" s="642"/>
      <c r="H21" s="874"/>
      <c r="I21" s="17"/>
      <c r="J21" s="17"/>
    </row>
    <row r="22" spans="1:10" ht="19.899999999999999" customHeight="1">
      <c r="A22" s="116"/>
      <c r="B22" s="1314" t="s">
        <v>233</v>
      </c>
      <c r="C22" s="1314"/>
      <c r="D22" s="1314"/>
      <c r="E22" s="1314"/>
      <c r="F22" s="1314"/>
      <c r="G22" s="1314"/>
      <c r="H22" s="874"/>
      <c r="I22" s="17"/>
      <c r="J22" s="17"/>
    </row>
    <row r="23" spans="1:10" ht="33.75" customHeight="1">
      <c r="A23" s="116"/>
      <c r="B23" s="1314" t="s">
        <v>234</v>
      </c>
      <c r="C23" s="1314"/>
      <c r="D23" s="1314"/>
      <c r="E23" s="1314"/>
      <c r="F23" s="1314"/>
      <c r="G23" s="1314"/>
      <c r="H23" s="874"/>
      <c r="I23" s="17"/>
      <c r="J23" s="17"/>
    </row>
    <row r="24" spans="1:10" ht="36" customHeight="1">
      <c r="A24" s="116"/>
      <c r="B24" s="1314" t="s">
        <v>235</v>
      </c>
      <c r="C24" s="1314"/>
      <c r="D24" s="1314"/>
      <c r="E24" s="1314"/>
      <c r="F24" s="1314"/>
      <c r="G24" s="1314"/>
      <c r="H24" s="874"/>
      <c r="I24" s="17"/>
      <c r="J24" s="17"/>
    </row>
    <row r="25" spans="1:10" ht="32.25" customHeight="1">
      <c r="A25" s="116"/>
      <c r="B25" s="1314" t="s">
        <v>236</v>
      </c>
      <c r="C25" s="1314"/>
      <c r="D25" s="1314"/>
      <c r="E25" s="1314"/>
      <c r="F25" s="1314"/>
      <c r="G25" s="1314"/>
      <c r="H25" s="874"/>
      <c r="I25" s="17"/>
      <c r="J25" s="17"/>
    </row>
    <row r="26" spans="1:10" ht="37.5" customHeight="1">
      <c r="A26" s="116"/>
      <c r="B26" s="1315" t="s">
        <v>631</v>
      </c>
      <c r="C26" s="1315"/>
      <c r="D26" s="1315"/>
      <c r="E26" s="1315"/>
      <c r="F26" s="1315"/>
      <c r="G26" s="1315"/>
      <c r="H26" s="874"/>
      <c r="I26" s="17"/>
      <c r="J26" s="17"/>
    </row>
    <row r="27" spans="1:10" ht="36.75" customHeight="1">
      <c r="A27" s="116"/>
      <c r="B27" s="1316" t="s">
        <v>237</v>
      </c>
      <c r="C27" s="1316"/>
      <c r="D27" s="1316"/>
      <c r="E27" s="1316"/>
      <c r="F27" s="1316"/>
      <c r="G27" s="1316"/>
      <c r="H27" s="874"/>
      <c r="I27" s="17"/>
      <c r="J27" s="17"/>
    </row>
    <row r="28" spans="1:10" ht="21" customHeight="1">
      <c r="A28" s="116"/>
      <c r="B28" s="439" t="s">
        <v>238</v>
      </c>
      <c r="C28" s="18"/>
      <c r="D28" s="18"/>
      <c r="E28" s="641"/>
      <c r="F28" s="641"/>
      <c r="G28" s="642"/>
      <c r="H28" s="874"/>
      <c r="I28" s="17"/>
      <c r="J28" s="17"/>
    </row>
    <row r="29" spans="1:10" ht="36" customHeight="1">
      <c r="A29" s="116"/>
      <c r="B29" s="436" t="s">
        <v>239</v>
      </c>
      <c r="C29" s="1311" t="s">
        <v>240</v>
      </c>
      <c r="D29" s="1311"/>
      <c r="E29" s="1311"/>
      <c r="F29" s="1311"/>
      <c r="G29" s="1311"/>
      <c r="H29" s="874"/>
      <c r="I29" s="17"/>
      <c r="J29" s="17"/>
    </row>
    <row r="30" spans="1:10" ht="39" customHeight="1">
      <c r="A30" s="116"/>
      <c r="B30" s="437" t="s">
        <v>241</v>
      </c>
      <c r="C30" s="1313" t="s">
        <v>240</v>
      </c>
      <c r="D30" s="1313"/>
      <c r="E30" s="1313"/>
      <c r="F30" s="1313"/>
      <c r="G30" s="1313"/>
      <c r="H30" s="791"/>
    </row>
    <row r="31" spans="1:10" ht="117.75" customHeight="1">
      <c r="A31" s="116"/>
      <c r="B31" s="436" t="s">
        <v>242</v>
      </c>
      <c r="C31" s="1311" t="s">
        <v>243</v>
      </c>
      <c r="D31" s="1311"/>
      <c r="E31" s="1311"/>
      <c r="F31" s="1311"/>
      <c r="G31" s="1311"/>
      <c r="H31" s="791"/>
    </row>
    <row r="32" spans="1:10" ht="53.25" customHeight="1">
      <c r="A32" s="116"/>
      <c r="B32" s="437" t="s">
        <v>244</v>
      </c>
      <c r="C32" s="1313" t="s">
        <v>245</v>
      </c>
      <c r="D32" s="1313"/>
      <c r="E32" s="1313"/>
      <c r="F32" s="1313"/>
      <c r="G32" s="1313"/>
      <c r="H32" s="791"/>
    </row>
    <row r="33" spans="1:14" ht="51.75" customHeight="1">
      <c r="A33" s="116"/>
      <c r="B33" s="436" t="s">
        <v>246</v>
      </c>
      <c r="C33" s="1311" t="s">
        <v>632</v>
      </c>
      <c r="D33" s="1311"/>
      <c r="E33" s="1311"/>
      <c r="F33" s="1311"/>
      <c r="G33" s="1311"/>
      <c r="H33" s="791"/>
    </row>
    <row r="34" spans="1:14" ht="34.5" customHeight="1">
      <c r="A34" s="116"/>
      <c r="B34" s="438" t="s">
        <v>247</v>
      </c>
      <c r="C34" s="1312" t="s">
        <v>633</v>
      </c>
      <c r="D34" s="1312"/>
      <c r="E34" s="1312"/>
      <c r="F34" s="1312"/>
      <c r="G34" s="1312"/>
      <c r="H34" s="791"/>
    </row>
    <row r="35" spans="1:14" ht="18" customHeight="1">
      <c r="A35" s="116"/>
      <c r="B35" s="867">
        <f>PWSID</f>
        <v>0</v>
      </c>
      <c r="C35" s="873"/>
      <c r="D35" s="873"/>
      <c r="E35" s="873"/>
      <c r="F35" s="873"/>
      <c r="G35" s="873"/>
      <c r="H35" s="791"/>
    </row>
    <row r="36" spans="1:14" ht="18" customHeight="1">
      <c r="A36" s="116"/>
      <c r="B36" s="867" t="str">
        <f>MMYYYY</f>
        <v>05/2025</v>
      </c>
      <c r="C36" s="873"/>
      <c r="D36" s="873"/>
      <c r="E36" s="873"/>
      <c r="F36" s="873"/>
      <c r="G36" s="873"/>
      <c r="H36" s="791"/>
    </row>
    <row r="37" spans="1:14" ht="18" customHeight="1">
      <c r="B37" s="16"/>
      <c r="C37" s="16"/>
      <c r="D37" s="16"/>
      <c r="E37" s="16"/>
      <c r="F37" s="16"/>
      <c r="G37" s="16"/>
    </row>
    <row r="42" spans="1:14">
      <c r="M42" s="168" t="str">
        <f>MMYYYY</f>
        <v>05/2025</v>
      </c>
      <c r="N42" s="168">
        <f>PWSID</f>
        <v>0</v>
      </c>
    </row>
  </sheetData>
  <sheetProtection algorithmName="SHA-512" hashValue="VEneDR7ppKY7Yw9h5Iwa/go3gV2Kr2/tA5/ON4fpzh/qLA5sqqf8kqQDZXVSvWWwNv6l9aexXLd8lFzTU8AODg==" saltValue="slqvePp6bDLDEuQRrHTuIA==" spinCount="100000" sheet="1" selectLockedCells="1"/>
  <mergeCells count="15">
    <mergeCell ref="B25:G25"/>
    <mergeCell ref="C29:G29"/>
    <mergeCell ref="B26:G26"/>
    <mergeCell ref="B27:G27"/>
    <mergeCell ref="C1:G1"/>
    <mergeCell ref="B2:G2"/>
    <mergeCell ref="B3:E5"/>
    <mergeCell ref="B22:G22"/>
    <mergeCell ref="B23:G23"/>
    <mergeCell ref="B24:G24"/>
    <mergeCell ref="C33:G33"/>
    <mergeCell ref="C34:G34"/>
    <mergeCell ref="C30:G30"/>
    <mergeCell ref="C31:G31"/>
    <mergeCell ref="C32:G32"/>
  </mergeCells>
  <phoneticPr fontId="0" type="noConversion"/>
  <hyperlinks>
    <hyperlink ref="G4" r:id="rId1" xr:uid="{00000000-0004-0000-0400-000000000000}"/>
    <hyperlink ref="B1" location="Bookmarks!A1" display="Return to Bookmarks" xr:uid="{629283D5-C45D-4CFF-B082-9B844502D6E2}"/>
  </hyperlinks>
  <printOptions horizontalCentered="1"/>
  <pageMargins left="1.25" right="0.5" top="1" bottom="0.5" header="0.5" footer="0"/>
  <pageSetup scale="61" fitToHeight="0" orientation="portrait" r:id="rId2"/>
  <headerFooter alignWithMargins="0">
    <oddHeader xml:space="preserve">&amp;LMonthly Operating Report
Turbidity Exceedances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2D050"/>
  </sheetPr>
  <dimension ref="A1:BK42"/>
  <sheetViews>
    <sheetView showGridLines="0" showWhiteSpace="0" zoomScale="80" zoomScaleNormal="80" zoomScalePageLayoutView="60" workbookViewId="0">
      <pane xSplit="1" ySplit="4" topLeftCell="B5" activePane="bottomRight" state="frozen"/>
      <selection pane="topRight" activeCell="E34" sqref="E34"/>
      <selection pane="bottomLeft" activeCell="E34" sqref="E34"/>
      <selection pane="bottomRight" activeCell="C5" sqref="C5"/>
    </sheetView>
  </sheetViews>
  <sheetFormatPr defaultColWidth="15" defaultRowHeight="12.75"/>
  <cols>
    <col min="1" max="1" width="10.42578125" customWidth="1"/>
    <col min="2" max="2" width="14.7109375" customWidth="1"/>
    <col min="3" max="3" width="14.5703125" customWidth="1"/>
    <col min="4" max="4" width="10.5703125" style="79" customWidth="1"/>
    <col min="5" max="5" width="14.5703125" customWidth="1"/>
    <col min="6" max="6" width="10.5703125" style="79" customWidth="1"/>
    <col min="7" max="7" width="14.5703125" customWidth="1"/>
    <col min="8" max="8" width="10.5703125" style="79" customWidth="1"/>
    <col min="9" max="9" width="14.5703125" customWidth="1"/>
    <col min="10" max="10" width="10.5703125" style="79" customWidth="1"/>
    <col min="11" max="11" width="14.5703125" customWidth="1"/>
    <col min="12" max="12" width="10.5703125" style="79" customWidth="1"/>
    <col min="13" max="13" width="15.7109375" customWidth="1"/>
    <col min="14" max="14" width="10.5703125" style="79" customWidth="1"/>
    <col min="15" max="15" width="15.7109375" customWidth="1"/>
    <col min="16" max="16" width="10.5703125" style="79" customWidth="1"/>
    <col min="17" max="17" width="15.7109375" customWidth="1"/>
    <col min="18" max="18" width="10.5703125" style="79" customWidth="1"/>
    <col min="19" max="19" width="15.7109375" customWidth="1"/>
    <col min="20" max="20" width="10.5703125" style="79" customWidth="1"/>
    <col min="21" max="21" width="15.7109375" customWidth="1"/>
    <col min="22" max="22" width="10.5703125" style="79" customWidth="1"/>
    <col min="23" max="23" width="15.7109375" customWidth="1"/>
    <col min="24" max="24" width="10.5703125" style="79" customWidth="1"/>
    <col min="25" max="25" width="15.5703125" customWidth="1"/>
    <col min="26" max="26" width="10.7109375" style="79" customWidth="1"/>
    <col min="27" max="27" width="15.5703125" customWidth="1"/>
    <col min="28" max="28" width="10.7109375" style="79" customWidth="1"/>
    <col min="29" max="29" width="15.5703125" customWidth="1"/>
    <col min="30" max="30" width="10.7109375" style="79" customWidth="1"/>
    <col min="31" max="31" width="15.5703125" customWidth="1"/>
    <col min="32" max="32" width="10.7109375" style="79" customWidth="1"/>
    <col min="33" max="33" width="14.5703125" customWidth="1"/>
    <col min="34" max="34" width="10.5703125" style="79" customWidth="1"/>
    <col min="35" max="35" width="14.5703125" customWidth="1"/>
    <col min="36" max="36" width="10.5703125" style="79" customWidth="1"/>
    <col min="37" max="37" width="14.5703125" customWidth="1"/>
    <col min="38" max="38" width="10.5703125" style="79" customWidth="1"/>
    <col min="39" max="39" width="14.5703125" customWidth="1"/>
    <col min="40" max="40" width="10.5703125" style="79" customWidth="1"/>
    <col min="41" max="41" width="14.5703125" customWidth="1"/>
    <col min="42" max="42" width="10.5703125" style="79" customWidth="1"/>
    <col min="43" max="43" width="15.7109375" customWidth="1"/>
    <col min="44" max="44" width="10.5703125" style="79" customWidth="1"/>
    <col min="45" max="45" width="15.7109375" customWidth="1"/>
    <col min="46" max="46" width="10.5703125" style="79" customWidth="1"/>
    <col min="47" max="47" width="15.7109375" customWidth="1"/>
    <col min="48" max="48" width="10.5703125" style="79" customWidth="1"/>
    <col min="49" max="49" width="15.7109375" customWidth="1"/>
    <col min="50" max="50" width="10.5703125" style="79" customWidth="1"/>
    <col min="51" max="51" width="15.7109375" customWidth="1"/>
    <col min="52" max="52" width="10.5703125" style="79" customWidth="1"/>
    <col min="53" max="53" width="15.7109375" customWidth="1"/>
    <col min="54" max="54" width="10.5703125" style="79" customWidth="1"/>
    <col min="55" max="55" width="15.5703125" customWidth="1"/>
    <col min="56" max="56" width="10.7109375" style="79" customWidth="1"/>
    <col min="57" max="57" width="15.5703125" customWidth="1"/>
    <col min="58" max="58" width="10.7109375" style="79" customWidth="1"/>
    <col min="59" max="59" width="15.5703125" customWidth="1"/>
    <col min="60" max="60" width="10.7109375" style="79" customWidth="1"/>
    <col min="61" max="61" width="15.5703125" customWidth="1"/>
    <col min="62" max="62" width="10.7109375" style="79" customWidth="1"/>
    <col min="63" max="63" width="2.28515625" customWidth="1"/>
  </cols>
  <sheetData>
    <row r="1" spans="1:63" ht="31.15" customHeight="1">
      <c r="A1" s="1090" t="s">
        <v>730</v>
      </c>
      <c r="B1" s="239" t="s">
        <v>248</v>
      </c>
      <c r="C1" s="177"/>
      <c r="D1" s="554"/>
      <c r="E1" s="177"/>
      <c r="F1" s="554"/>
      <c r="G1" s="177"/>
      <c r="H1" s="554"/>
      <c r="I1" s="177"/>
      <c r="J1" s="554"/>
      <c r="K1" s="177"/>
      <c r="L1" s="554"/>
      <c r="M1" s="177"/>
      <c r="N1" s="554"/>
      <c r="O1" s="177"/>
      <c r="P1" s="554"/>
      <c r="Q1" s="177"/>
      <c r="R1" s="554"/>
      <c r="S1" s="177"/>
      <c r="T1" s="554"/>
      <c r="U1" s="177"/>
      <c r="V1" s="554"/>
      <c r="W1" s="177"/>
      <c r="X1" s="554"/>
      <c r="Y1" s="177"/>
      <c r="Z1" s="554"/>
      <c r="AA1" s="177"/>
      <c r="AB1" s="554"/>
      <c r="AC1" s="177"/>
      <c r="AD1" s="554"/>
      <c r="AE1" s="177"/>
      <c r="AF1" s="554"/>
      <c r="AG1" s="177"/>
      <c r="AH1" s="554"/>
      <c r="AI1" s="177"/>
      <c r="AJ1" s="554"/>
      <c r="AK1" s="177"/>
      <c r="AL1" s="554"/>
      <c r="AM1" s="177"/>
      <c r="AN1" s="554"/>
      <c r="AO1" s="177"/>
      <c r="AP1" s="554"/>
      <c r="AQ1" s="177"/>
      <c r="AR1" s="554"/>
      <c r="AS1" s="177"/>
      <c r="AT1" s="554"/>
      <c r="AU1" s="177"/>
      <c r="AV1" s="554"/>
      <c r="AW1" s="177"/>
      <c r="AX1" s="554"/>
      <c r="AY1" s="177"/>
      <c r="AZ1" s="554"/>
      <c r="BA1" s="177"/>
      <c r="BB1" s="554"/>
      <c r="BC1" s="177"/>
      <c r="BD1" s="554"/>
      <c r="BE1" s="177"/>
      <c r="BF1" s="554"/>
      <c r="BG1" s="177"/>
      <c r="BH1" s="554"/>
      <c r="BI1" s="177"/>
      <c r="BJ1" s="563"/>
      <c r="BK1" s="791"/>
    </row>
    <row r="2" spans="1:63" s="116" customFormat="1" ht="21" customHeight="1">
      <c r="A2" s="875"/>
      <c r="B2" s="1327" t="s">
        <v>249</v>
      </c>
      <c r="C2" s="876" t="s">
        <v>250</v>
      </c>
      <c r="D2" s="555" t="s">
        <v>251</v>
      </c>
      <c r="E2" s="883" t="s">
        <v>250</v>
      </c>
      <c r="F2" s="555" t="s">
        <v>251</v>
      </c>
      <c r="G2" s="883" t="s">
        <v>250</v>
      </c>
      <c r="H2" s="555" t="s">
        <v>251</v>
      </c>
      <c r="I2" s="883" t="s">
        <v>250</v>
      </c>
      <c r="J2" s="555" t="s">
        <v>251</v>
      </c>
      <c r="K2" s="883" t="s">
        <v>250</v>
      </c>
      <c r="L2" s="555" t="s">
        <v>251</v>
      </c>
      <c r="M2" s="883" t="s">
        <v>250</v>
      </c>
      <c r="N2" s="555" t="s">
        <v>251</v>
      </c>
      <c r="O2" s="883" t="s">
        <v>250</v>
      </c>
      <c r="P2" s="555" t="s">
        <v>251</v>
      </c>
      <c r="Q2" s="883" t="s">
        <v>250</v>
      </c>
      <c r="R2" s="555" t="s">
        <v>251</v>
      </c>
      <c r="S2" s="883" t="s">
        <v>250</v>
      </c>
      <c r="T2" s="555" t="s">
        <v>251</v>
      </c>
      <c r="U2" s="883" t="s">
        <v>250</v>
      </c>
      <c r="V2" s="555" t="s">
        <v>251</v>
      </c>
      <c r="W2" s="883" t="s">
        <v>250</v>
      </c>
      <c r="X2" s="555" t="s">
        <v>251</v>
      </c>
      <c r="Y2" s="883" t="s">
        <v>250</v>
      </c>
      <c r="Z2" s="555" t="s">
        <v>251</v>
      </c>
      <c r="AA2" s="883" t="s">
        <v>250</v>
      </c>
      <c r="AB2" s="555" t="s">
        <v>251</v>
      </c>
      <c r="AC2" s="883" t="s">
        <v>250</v>
      </c>
      <c r="AD2" s="555" t="s">
        <v>251</v>
      </c>
      <c r="AE2" s="883" t="s">
        <v>250</v>
      </c>
      <c r="AF2" s="555" t="s">
        <v>251</v>
      </c>
      <c r="AG2" s="876" t="s">
        <v>250</v>
      </c>
      <c r="AH2" s="555" t="s">
        <v>251</v>
      </c>
      <c r="AI2" s="883" t="s">
        <v>250</v>
      </c>
      <c r="AJ2" s="555" t="s">
        <v>251</v>
      </c>
      <c r="AK2" s="883" t="s">
        <v>250</v>
      </c>
      <c r="AL2" s="555" t="s">
        <v>251</v>
      </c>
      <c r="AM2" s="883" t="s">
        <v>250</v>
      </c>
      <c r="AN2" s="555" t="s">
        <v>251</v>
      </c>
      <c r="AO2" s="883" t="s">
        <v>250</v>
      </c>
      <c r="AP2" s="555" t="s">
        <v>251</v>
      </c>
      <c r="AQ2" s="883" t="s">
        <v>250</v>
      </c>
      <c r="AR2" s="555" t="s">
        <v>251</v>
      </c>
      <c r="AS2" s="883" t="s">
        <v>250</v>
      </c>
      <c r="AT2" s="555" t="s">
        <v>251</v>
      </c>
      <c r="AU2" s="883" t="s">
        <v>250</v>
      </c>
      <c r="AV2" s="555" t="s">
        <v>251</v>
      </c>
      <c r="AW2" s="883" t="s">
        <v>250</v>
      </c>
      <c r="AX2" s="555" t="s">
        <v>251</v>
      </c>
      <c r="AY2" s="883" t="s">
        <v>250</v>
      </c>
      <c r="AZ2" s="555" t="s">
        <v>251</v>
      </c>
      <c r="BA2" s="883" t="s">
        <v>250</v>
      </c>
      <c r="BB2" s="555" t="s">
        <v>251</v>
      </c>
      <c r="BC2" s="883" t="s">
        <v>250</v>
      </c>
      <c r="BD2" s="555" t="s">
        <v>251</v>
      </c>
      <c r="BE2" s="883" t="s">
        <v>250</v>
      </c>
      <c r="BF2" s="555" t="s">
        <v>251</v>
      </c>
      <c r="BG2" s="883" t="s">
        <v>250</v>
      </c>
      <c r="BH2" s="555" t="s">
        <v>251</v>
      </c>
      <c r="BI2" s="883" t="s">
        <v>250</v>
      </c>
      <c r="BJ2" s="564" t="s">
        <v>251</v>
      </c>
      <c r="BK2" s="867"/>
    </row>
    <row r="3" spans="1:63" s="129" customFormat="1" ht="18" customHeight="1">
      <c r="A3" s="877"/>
      <c r="B3" s="1328"/>
      <c r="C3" s="878" t="s">
        <v>252</v>
      </c>
      <c r="D3" s="601" t="s">
        <v>251</v>
      </c>
      <c r="E3" s="885" t="s">
        <v>252</v>
      </c>
      <c r="F3" s="602" t="s">
        <v>251</v>
      </c>
      <c r="G3" s="885" t="s">
        <v>252</v>
      </c>
      <c r="H3" s="602" t="s">
        <v>251</v>
      </c>
      <c r="I3" s="885" t="s">
        <v>252</v>
      </c>
      <c r="J3" s="602" t="s">
        <v>251</v>
      </c>
      <c r="K3" s="885" t="s">
        <v>252</v>
      </c>
      <c r="L3" s="602" t="s">
        <v>251</v>
      </c>
      <c r="M3" s="885" t="s">
        <v>252</v>
      </c>
      <c r="N3" s="602" t="s">
        <v>251</v>
      </c>
      <c r="O3" s="885" t="s">
        <v>252</v>
      </c>
      <c r="P3" s="602" t="s">
        <v>251</v>
      </c>
      <c r="Q3" s="884" t="s">
        <v>252</v>
      </c>
      <c r="R3" s="602" t="s">
        <v>251</v>
      </c>
      <c r="S3" s="884" t="s">
        <v>252</v>
      </c>
      <c r="T3" s="602" t="s">
        <v>251</v>
      </c>
      <c r="U3" s="884" t="s">
        <v>252</v>
      </c>
      <c r="V3" s="602" t="s">
        <v>251</v>
      </c>
      <c r="W3" s="884" t="s">
        <v>252</v>
      </c>
      <c r="X3" s="602" t="s">
        <v>251</v>
      </c>
      <c r="Y3" s="884" t="s">
        <v>252</v>
      </c>
      <c r="Z3" s="602" t="s">
        <v>251</v>
      </c>
      <c r="AA3" s="884" t="s">
        <v>252</v>
      </c>
      <c r="AB3" s="602" t="s">
        <v>251</v>
      </c>
      <c r="AC3" s="884" t="s">
        <v>252</v>
      </c>
      <c r="AD3" s="602" t="s">
        <v>251</v>
      </c>
      <c r="AE3" s="884" t="s">
        <v>252</v>
      </c>
      <c r="AF3" s="602" t="s">
        <v>251</v>
      </c>
      <c r="AG3" s="878" t="s">
        <v>252</v>
      </c>
      <c r="AH3" s="601" t="s">
        <v>251</v>
      </c>
      <c r="AI3" s="885" t="s">
        <v>252</v>
      </c>
      <c r="AJ3" s="602" t="s">
        <v>251</v>
      </c>
      <c r="AK3" s="885" t="s">
        <v>252</v>
      </c>
      <c r="AL3" s="602" t="s">
        <v>251</v>
      </c>
      <c r="AM3" s="885" t="s">
        <v>252</v>
      </c>
      <c r="AN3" s="602" t="s">
        <v>251</v>
      </c>
      <c r="AO3" s="885" t="s">
        <v>252</v>
      </c>
      <c r="AP3" s="602" t="s">
        <v>251</v>
      </c>
      <c r="AQ3" s="885" t="s">
        <v>252</v>
      </c>
      <c r="AR3" s="602" t="s">
        <v>251</v>
      </c>
      <c r="AS3" s="885" t="s">
        <v>252</v>
      </c>
      <c r="AT3" s="602" t="s">
        <v>251</v>
      </c>
      <c r="AU3" s="884" t="s">
        <v>252</v>
      </c>
      <c r="AV3" s="602" t="s">
        <v>251</v>
      </c>
      <c r="AW3" s="884" t="s">
        <v>252</v>
      </c>
      <c r="AX3" s="602" t="s">
        <v>251</v>
      </c>
      <c r="AY3" s="884" t="s">
        <v>252</v>
      </c>
      <c r="AZ3" s="602" t="s">
        <v>251</v>
      </c>
      <c r="BA3" s="884" t="s">
        <v>252</v>
      </c>
      <c r="BB3" s="602" t="s">
        <v>251</v>
      </c>
      <c r="BC3" s="884" t="s">
        <v>252</v>
      </c>
      <c r="BD3" s="602" t="s">
        <v>251</v>
      </c>
      <c r="BE3" s="884" t="s">
        <v>252</v>
      </c>
      <c r="BF3" s="602" t="s">
        <v>251</v>
      </c>
      <c r="BG3" s="884" t="s">
        <v>252</v>
      </c>
      <c r="BH3" s="602" t="s">
        <v>251</v>
      </c>
      <c r="BI3" s="884" t="s">
        <v>252</v>
      </c>
      <c r="BJ3" s="603" t="s">
        <v>251</v>
      </c>
      <c r="BK3" s="891"/>
    </row>
    <row r="4" spans="1:63" ht="36" customHeight="1" thickBot="1">
      <c r="A4" s="879" t="s">
        <v>58</v>
      </c>
      <c r="B4" s="1329"/>
      <c r="C4" s="843" t="s">
        <v>253</v>
      </c>
      <c r="D4" s="880" t="s">
        <v>254</v>
      </c>
      <c r="E4" s="881" t="s">
        <v>253</v>
      </c>
      <c r="F4" s="880" t="s">
        <v>254</v>
      </c>
      <c r="G4" s="881" t="s">
        <v>253</v>
      </c>
      <c r="H4" s="880" t="s">
        <v>254</v>
      </c>
      <c r="I4" s="881" t="s">
        <v>253</v>
      </c>
      <c r="J4" s="880" t="s">
        <v>254</v>
      </c>
      <c r="K4" s="881" t="s">
        <v>253</v>
      </c>
      <c r="L4" s="880" t="s">
        <v>254</v>
      </c>
      <c r="M4" s="881" t="s">
        <v>253</v>
      </c>
      <c r="N4" s="880" t="s">
        <v>254</v>
      </c>
      <c r="O4" s="881" t="s">
        <v>253</v>
      </c>
      <c r="P4" s="880" t="s">
        <v>254</v>
      </c>
      <c r="Q4" s="881" t="s">
        <v>253</v>
      </c>
      <c r="R4" s="880" t="s">
        <v>254</v>
      </c>
      <c r="S4" s="881" t="s">
        <v>253</v>
      </c>
      <c r="T4" s="880" t="s">
        <v>254</v>
      </c>
      <c r="U4" s="881" t="s">
        <v>253</v>
      </c>
      <c r="V4" s="880" t="s">
        <v>254</v>
      </c>
      <c r="W4" s="881" t="s">
        <v>253</v>
      </c>
      <c r="X4" s="880" t="s">
        <v>254</v>
      </c>
      <c r="Y4" s="881" t="s">
        <v>253</v>
      </c>
      <c r="Z4" s="880" t="s">
        <v>254</v>
      </c>
      <c r="AA4" s="881" t="s">
        <v>253</v>
      </c>
      <c r="AB4" s="880" t="s">
        <v>254</v>
      </c>
      <c r="AC4" s="881" t="s">
        <v>253</v>
      </c>
      <c r="AD4" s="880" t="s">
        <v>254</v>
      </c>
      <c r="AE4" s="881" t="s">
        <v>253</v>
      </c>
      <c r="AF4" s="880" t="s">
        <v>254</v>
      </c>
      <c r="AG4" s="843" t="s">
        <v>253</v>
      </c>
      <c r="AH4" s="880" t="s">
        <v>254</v>
      </c>
      <c r="AI4" s="881" t="s">
        <v>253</v>
      </c>
      <c r="AJ4" s="880" t="s">
        <v>254</v>
      </c>
      <c r="AK4" s="881" t="s">
        <v>253</v>
      </c>
      <c r="AL4" s="880" t="s">
        <v>254</v>
      </c>
      <c r="AM4" s="881" t="s">
        <v>253</v>
      </c>
      <c r="AN4" s="880" t="s">
        <v>254</v>
      </c>
      <c r="AO4" s="881" t="s">
        <v>253</v>
      </c>
      <c r="AP4" s="880" t="s">
        <v>254</v>
      </c>
      <c r="AQ4" s="881" t="s">
        <v>253</v>
      </c>
      <c r="AR4" s="880" t="s">
        <v>254</v>
      </c>
      <c r="AS4" s="881" t="s">
        <v>253</v>
      </c>
      <c r="AT4" s="880" t="s">
        <v>254</v>
      </c>
      <c r="AU4" s="881" t="s">
        <v>253</v>
      </c>
      <c r="AV4" s="880" t="s">
        <v>254</v>
      </c>
      <c r="AW4" s="881" t="s">
        <v>253</v>
      </c>
      <c r="AX4" s="880" t="s">
        <v>254</v>
      </c>
      <c r="AY4" s="881" t="s">
        <v>253</v>
      </c>
      <c r="AZ4" s="880" t="s">
        <v>254</v>
      </c>
      <c r="BA4" s="881" t="s">
        <v>253</v>
      </c>
      <c r="BB4" s="880" t="s">
        <v>254</v>
      </c>
      <c r="BC4" s="881" t="s">
        <v>253</v>
      </c>
      <c r="BD4" s="880" t="s">
        <v>254</v>
      </c>
      <c r="BE4" s="881" t="s">
        <v>253</v>
      </c>
      <c r="BF4" s="880" t="s">
        <v>254</v>
      </c>
      <c r="BG4" s="881" t="s">
        <v>253</v>
      </c>
      <c r="BH4" s="880" t="s">
        <v>254</v>
      </c>
      <c r="BI4" s="881" t="s">
        <v>253</v>
      </c>
      <c r="BJ4" s="882" t="s">
        <v>254</v>
      </c>
      <c r="BK4" s="791"/>
    </row>
    <row r="5" spans="1:63" ht="25.15" customHeight="1">
      <c r="A5" s="240">
        <v>1</v>
      </c>
      <c r="B5" s="521">
        <f>C5+E5+G5+I5+K5+M5+O5+Q5+S5+U5+W5+Y5+AA5+AC5+AE5+AG5+AI5+AK5+AM5+AO5+AQ5+AS5+AU5+AW5+AY5+BA5+BC5+BE5+BG5+BI5</f>
        <v>0</v>
      </c>
      <c r="C5" s="522"/>
      <c r="D5" s="556"/>
      <c r="E5" s="523"/>
      <c r="F5" s="556"/>
      <c r="G5" s="523"/>
      <c r="H5" s="556"/>
      <c r="I5" s="523"/>
      <c r="J5" s="556"/>
      <c r="K5" s="523"/>
      <c r="L5" s="556"/>
      <c r="M5" s="523"/>
      <c r="N5" s="556"/>
      <c r="O5" s="523"/>
      <c r="P5" s="556"/>
      <c r="Q5" s="523"/>
      <c r="R5" s="556"/>
      <c r="S5" s="523"/>
      <c r="T5" s="556"/>
      <c r="U5" s="523"/>
      <c r="V5" s="556"/>
      <c r="W5" s="523"/>
      <c r="X5" s="556"/>
      <c r="Y5" s="523"/>
      <c r="Z5" s="556"/>
      <c r="AA5" s="523"/>
      <c r="AB5" s="556"/>
      <c r="AC5" s="523"/>
      <c r="AD5" s="556"/>
      <c r="AE5" s="523"/>
      <c r="AF5" s="556"/>
      <c r="AG5" s="522"/>
      <c r="AH5" s="556"/>
      <c r="AI5" s="523"/>
      <c r="AJ5" s="556"/>
      <c r="AK5" s="523"/>
      <c r="AL5" s="556"/>
      <c r="AM5" s="523"/>
      <c r="AN5" s="556"/>
      <c r="AO5" s="523"/>
      <c r="AP5" s="556"/>
      <c r="AQ5" s="523"/>
      <c r="AR5" s="556"/>
      <c r="AS5" s="523"/>
      <c r="AT5" s="556"/>
      <c r="AU5" s="523"/>
      <c r="AV5" s="556"/>
      <c r="AW5" s="523"/>
      <c r="AX5" s="556"/>
      <c r="AY5" s="523"/>
      <c r="AZ5" s="556"/>
      <c r="BA5" s="523"/>
      <c r="BB5" s="556"/>
      <c r="BC5" s="523"/>
      <c r="BD5" s="556"/>
      <c r="BE5" s="523"/>
      <c r="BF5" s="556"/>
      <c r="BG5" s="523"/>
      <c r="BH5" s="556"/>
      <c r="BI5" s="523"/>
      <c r="BJ5" s="140"/>
      <c r="BK5" s="791"/>
    </row>
    <row r="6" spans="1:63" ht="25.15" customHeight="1">
      <c r="A6" s="240">
        <v>2</v>
      </c>
      <c r="B6" s="521">
        <f t="shared" ref="B6:B32" si="0">C6+E6+G6+I6+K6+M6+O6+Q6+S6+U6+W6+Y6+AA6+AC6+AE6+AG6+AI6+AK6+AM6+AO6+AQ6+AS6+AU6+AW6+AY6+BA6+BC6+BE6+BG6+BI6</f>
        <v>0</v>
      </c>
      <c r="C6" s="522"/>
      <c r="D6" s="556"/>
      <c r="E6" s="523"/>
      <c r="F6" s="556"/>
      <c r="G6" s="523"/>
      <c r="H6" s="556"/>
      <c r="I6" s="523"/>
      <c r="J6" s="556"/>
      <c r="K6" s="523"/>
      <c r="L6" s="556"/>
      <c r="M6" s="523"/>
      <c r="N6" s="556"/>
      <c r="O6" s="523"/>
      <c r="P6" s="556"/>
      <c r="Q6" s="523"/>
      <c r="R6" s="556"/>
      <c r="S6" s="523"/>
      <c r="T6" s="556"/>
      <c r="U6" s="523"/>
      <c r="V6" s="556"/>
      <c r="W6" s="523"/>
      <c r="X6" s="556"/>
      <c r="Y6" s="523"/>
      <c r="Z6" s="556"/>
      <c r="AA6" s="523"/>
      <c r="AB6" s="556"/>
      <c r="AC6" s="523"/>
      <c r="AD6" s="556"/>
      <c r="AE6" s="523"/>
      <c r="AF6" s="556"/>
      <c r="AG6" s="522"/>
      <c r="AH6" s="556"/>
      <c r="AI6" s="523"/>
      <c r="AJ6" s="556"/>
      <c r="AK6" s="523"/>
      <c r="AL6" s="556"/>
      <c r="AM6" s="523"/>
      <c r="AN6" s="556"/>
      <c r="AO6" s="523"/>
      <c r="AP6" s="556"/>
      <c r="AQ6" s="523"/>
      <c r="AR6" s="556"/>
      <c r="AS6" s="523"/>
      <c r="AT6" s="556"/>
      <c r="AU6" s="523"/>
      <c r="AV6" s="556"/>
      <c r="AW6" s="523"/>
      <c r="AX6" s="556"/>
      <c r="AY6" s="523"/>
      <c r="AZ6" s="556"/>
      <c r="BA6" s="523"/>
      <c r="BB6" s="556"/>
      <c r="BC6" s="523"/>
      <c r="BD6" s="556"/>
      <c r="BE6" s="523"/>
      <c r="BF6" s="556"/>
      <c r="BG6" s="523"/>
      <c r="BH6" s="556"/>
      <c r="BI6" s="523"/>
      <c r="BJ6" s="140"/>
      <c r="BK6" s="791"/>
    </row>
    <row r="7" spans="1:63" ht="25.15" customHeight="1">
      <c r="A7" s="240">
        <v>3</v>
      </c>
      <c r="B7" s="521">
        <f t="shared" si="0"/>
        <v>0</v>
      </c>
      <c r="C7" s="522"/>
      <c r="D7" s="556"/>
      <c r="E7" s="523"/>
      <c r="F7" s="556"/>
      <c r="G7" s="523"/>
      <c r="H7" s="556"/>
      <c r="I7" s="523"/>
      <c r="J7" s="556"/>
      <c r="K7" s="523"/>
      <c r="L7" s="556"/>
      <c r="M7" s="523"/>
      <c r="N7" s="556"/>
      <c r="O7" s="523"/>
      <c r="P7" s="556"/>
      <c r="Q7" s="523"/>
      <c r="R7" s="556"/>
      <c r="S7" s="523"/>
      <c r="T7" s="556"/>
      <c r="U7" s="523"/>
      <c r="V7" s="556"/>
      <c r="W7" s="523"/>
      <c r="X7" s="556"/>
      <c r="Y7" s="523"/>
      <c r="Z7" s="556"/>
      <c r="AA7" s="523"/>
      <c r="AB7" s="556"/>
      <c r="AC7" s="523"/>
      <c r="AD7" s="556"/>
      <c r="AE7" s="523"/>
      <c r="AF7" s="556"/>
      <c r="AG7" s="522"/>
      <c r="AH7" s="556"/>
      <c r="AI7" s="523"/>
      <c r="AJ7" s="556"/>
      <c r="AK7" s="523"/>
      <c r="AL7" s="556"/>
      <c r="AM7" s="523"/>
      <c r="AN7" s="556"/>
      <c r="AO7" s="523"/>
      <c r="AP7" s="556"/>
      <c r="AQ7" s="523"/>
      <c r="AR7" s="556"/>
      <c r="AS7" s="523"/>
      <c r="AT7" s="556"/>
      <c r="AU7" s="523"/>
      <c r="AV7" s="556"/>
      <c r="AW7" s="523"/>
      <c r="AX7" s="556"/>
      <c r="AY7" s="523"/>
      <c r="AZ7" s="556"/>
      <c r="BA7" s="523"/>
      <c r="BB7" s="556"/>
      <c r="BC7" s="523"/>
      <c r="BD7" s="556"/>
      <c r="BE7" s="523"/>
      <c r="BF7" s="556"/>
      <c r="BG7" s="523"/>
      <c r="BH7" s="556"/>
      <c r="BI7" s="523"/>
      <c r="BJ7" s="140"/>
      <c r="BK7" s="791"/>
    </row>
    <row r="8" spans="1:63" ht="25.15" customHeight="1">
      <c r="A8" s="240">
        <v>4</v>
      </c>
      <c r="B8" s="521">
        <f t="shared" si="0"/>
        <v>0</v>
      </c>
      <c r="C8" s="522"/>
      <c r="D8" s="556"/>
      <c r="E8" s="523"/>
      <c r="F8" s="556"/>
      <c r="G8" s="523"/>
      <c r="H8" s="556"/>
      <c r="I8" s="523"/>
      <c r="J8" s="556"/>
      <c r="K8" s="523"/>
      <c r="L8" s="556"/>
      <c r="M8" s="523"/>
      <c r="N8" s="556"/>
      <c r="O8" s="523"/>
      <c r="P8" s="556"/>
      <c r="Q8" s="523"/>
      <c r="R8" s="556"/>
      <c r="S8" s="523"/>
      <c r="T8" s="556"/>
      <c r="U8" s="523"/>
      <c r="V8" s="556"/>
      <c r="W8" s="523"/>
      <c r="X8" s="556"/>
      <c r="Y8" s="523"/>
      <c r="Z8" s="556"/>
      <c r="AA8" s="523"/>
      <c r="AB8" s="556"/>
      <c r="AC8" s="523"/>
      <c r="AD8" s="556"/>
      <c r="AE8" s="523"/>
      <c r="AF8" s="556"/>
      <c r="AG8" s="522"/>
      <c r="AH8" s="556"/>
      <c r="AI8" s="523"/>
      <c r="AJ8" s="556"/>
      <c r="AK8" s="523"/>
      <c r="AL8" s="556"/>
      <c r="AM8" s="523"/>
      <c r="AN8" s="556"/>
      <c r="AO8" s="523"/>
      <c r="AP8" s="556"/>
      <c r="AQ8" s="523"/>
      <c r="AR8" s="556"/>
      <c r="AS8" s="523"/>
      <c r="AT8" s="556"/>
      <c r="AU8" s="523"/>
      <c r="AV8" s="556"/>
      <c r="AW8" s="523"/>
      <c r="AX8" s="556"/>
      <c r="AY8" s="523"/>
      <c r="AZ8" s="556"/>
      <c r="BA8" s="523"/>
      <c r="BB8" s="556"/>
      <c r="BC8" s="523"/>
      <c r="BD8" s="556"/>
      <c r="BE8" s="523"/>
      <c r="BF8" s="556"/>
      <c r="BG8" s="523"/>
      <c r="BH8" s="556"/>
      <c r="BI8" s="523"/>
      <c r="BJ8" s="140"/>
      <c r="BK8" s="791"/>
    </row>
    <row r="9" spans="1:63" ht="25.15" customHeight="1">
      <c r="A9" s="240">
        <v>5</v>
      </c>
      <c r="B9" s="521">
        <f t="shared" si="0"/>
        <v>0</v>
      </c>
      <c r="C9" s="522"/>
      <c r="D9" s="556"/>
      <c r="E9" s="523"/>
      <c r="F9" s="556"/>
      <c r="G9" s="523"/>
      <c r="H9" s="556"/>
      <c r="I9" s="523"/>
      <c r="J9" s="556"/>
      <c r="K9" s="523"/>
      <c r="L9" s="556"/>
      <c r="M9" s="523"/>
      <c r="N9" s="556"/>
      <c r="O9" s="523"/>
      <c r="P9" s="556"/>
      <c r="Q9" s="523"/>
      <c r="R9" s="556"/>
      <c r="S9" s="523"/>
      <c r="T9" s="556"/>
      <c r="U9" s="523"/>
      <c r="V9" s="556"/>
      <c r="W9" s="523"/>
      <c r="X9" s="556"/>
      <c r="Y9" s="523"/>
      <c r="Z9" s="556"/>
      <c r="AA9" s="523"/>
      <c r="AB9" s="556"/>
      <c r="AC9" s="523"/>
      <c r="AD9" s="556"/>
      <c r="AE9" s="523"/>
      <c r="AF9" s="556"/>
      <c r="AG9" s="522"/>
      <c r="AH9" s="556"/>
      <c r="AI9" s="523"/>
      <c r="AJ9" s="556"/>
      <c r="AK9" s="523"/>
      <c r="AL9" s="556"/>
      <c r="AM9" s="523"/>
      <c r="AN9" s="556"/>
      <c r="AO9" s="523"/>
      <c r="AP9" s="556"/>
      <c r="AQ9" s="523"/>
      <c r="AR9" s="556"/>
      <c r="AS9" s="523"/>
      <c r="AT9" s="556"/>
      <c r="AU9" s="523"/>
      <c r="AV9" s="556"/>
      <c r="AW9" s="523"/>
      <c r="AX9" s="556"/>
      <c r="AY9" s="523"/>
      <c r="AZ9" s="556"/>
      <c r="BA9" s="523"/>
      <c r="BB9" s="556"/>
      <c r="BC9" s="523"/>
      <c r="BD9" s="556"/>
      <c r="BE9" s="523"/>
      <c r="BF9" s="556"/>
      <c r="BG9" s="523"/>
      <c r="BH9" s="556"/>
      <c r="BI9" s="523"/>
      <c r="BJ9" s="140"/>
      <c r="BK9" s="791"/>
    </row>
    <row r="10" spans="1:63" ht="25.15" customHeight="1">
      <c r="A10" s="240">
        <v>6</v>
      </c>
      <c r="B10" s="521">
        <f t="shared" si="0"/>
        <v>0</v>
      </c>
      <c r="C10" s="522"/>
      <c r="D10" s="556"/>
      <c r="E10" s="523"/>
      <c r="F10" s="556"/>
      <c r="G10" s="523"/>
      <c r="H10" s="556"/>
      <c r="I10" s="523"/>
      <c r="J10" s="556"/>
      <c r="K10" s="523"/>
      <c r="L10" s="556"/>
      <c r="M10" s="523"/>
      <c r="N10" s="556"/>
      <c r="O10" s="523"/>
      <c r="P10" s="556"/>
      <c r="Q10" s="523"/>
      <c r="R10" s="556"/>
      <c r="S10" s="523"/>
      <c r="T10" s="556"/>
      <c r="U10" s="523"/>
      <c r="V10" s="556"/>
      <c r="W10" s="523"/>
      <c r="X10" s="556"/>
      <c r="Y10" s="523"/>
      <c r="Z10" s="556"/>
      <c r="AA10" s="523"/>
      <c r="AB10" s="556"/>
      <c r="AC10" s="523"/>
      <c r="AD10" s="556"/>
      <c r="AE10" s="523"/>
      <c r="AF10" s="556"/>
      <c r="AG10" s="522"/>
      <c r="AH10" s="556"/>
      <c r="AI10" s="523"/>
      <c r="AJ10" s="556"/>
      <c r="AK10" s="523"/>
      <c r="AL10" s="556"/>
      <c r="AM10" s="523"/>
      <c r="AN10" s="556"/>
      <c r="AO10" s="523"/>
      <c r="AP10" s="556"/>
      <c r="AQ10" s="523"/>
      <c r="AR10" s="556"/>
      <c r="AS10" s="523"/>
      <c r="AT10" s="556"/>
      <c r="AU10" s="523"/>
      <c r="AV10" s="556"/>
      <c r="AW10" s="523"/>
      <c r="AX10" s="556"/>
      <c r="AY10" s="523"/>
      <c r="AZ10" s="556"/>
      <c r="BA10" s="523"/>
      <c r="BB10" s="556"/>
      <c r="BC10" s="523"/>
      <c r="BD10" s="556"/>
      <c r="BE10" s="523"/>
      <c r="BF10" s="556"/>
      <c r="BG10" s="523"/>
      <c r="BH10" s="556"/>
      <c r="BI10" s="523"/>
      <c r="BJ10" s="140"/>
      <c r="BK10" s="791"/>
    </row>
    <row r="11" spans="1:63" ht="25.15" customHeight="1">
      <c r="A11" s="240">
        <v>7</v>
      </c>
      <c r="B11" s="521">
        <f t="shared" si="0"/>
        <v>0</v>
      </c>
      <c r="C11" s="522"/>
      <c r="D11" s="556"/>
      <c r="E11" s="523"/>
      <c r="F11" s="556"/>
      <c r="G11" s="523"/>
      <c r="H11" s="556"/>
      <c r="I11" s="523"/>
      <c r="J11" s="556"/>
      <c r="K11" s="523"/>
      <c r="L11" s="556"/>
      <c r="M11" s="523"/>
      <c r="N11" s="556"/>
      <c r="O11" s="523"/>
      <c r="P11" s="556"/>
      <c r="Q11" s="523"/>
      <c r="R11" s="556"/>
      <c r="S11" s="523"/>
      <c r="T11" s="556"/>
      <c r="U11" s="523"/>
      <c r="V11" s="556"/>
      <c r="W11" s="523"/>
      <c r="X11" s="556"/>
      <c r="Y11" s="523"/>
      <c r="Z11" s="556"/>
      <c r="AA11" s="523"/>
      <c r="AB11" s="556"/>
      <c r="AC11" s="523"/>
      <c r="AD11" s="556"/>
      <c r="AE11" s="523"/>
      <c r="AF11" s="556"/>
      <c r="AG11" s="522"/>
      <c r="AH11" s="556"/>
      <c r="AI11" s="523"/>
      <c r="AJ11" s="556"/>
      <c r="AK11" s="523"/>
      <c r="AL11" s="556"/>
      <c r="AM11" s="523"/>
      <c r="AN11" s="556"/>
      <c r="AO11" s="523"/>
      <c r="AP11" s="556"/>
      <c r="AQ11" s="523"/>
      <c r="AR11" s="556"/>
      <c r="AS11" s="523"/>
      <c r="AT11" s="556"/>
      <c r="AU11" s="523"/>
      <c r="AV11" s="556"/>
      <c r="AW11" s="523"/>
      <c r="AX11" s="556"/>
      <c r="AY11" s="523"/>
      <c r="AZ11" s="556"/>
      <c r="BA11" s="523"/>
      <c r="BB11" s="556"/>
      <c r="BC11" s="523"/>
      <c r="BD11" s="556"/>
      <c r="BE11" s="523"/>
      <c r="BF11" s="556"/>
      <c r="BG11" s="523"/>
      <c r="BH11" s="556"/>
      <c r="BI11" s="523"/>
      <c r="BJ11" s="140"/>
      <c r="BK11" s="791"/>
    </row>
    <row r="12" spans="1:63" ht="25.15" customHeight="1">
      <c r="A12" s="240">
        <v>8</v>
      </c>
      <c r="B12" s="521">
        <f t="shared" si="0"/>
        <v>0</v>
      </c>
      <c r="C12" s="522"/>
      <c r="D12" s="556"/>
      <c r="E12" s="523"/>
      <c r="F12" s="556"/>
      <c r="G12" s="523"/>
      <c r="H12" s="556"/>
      <c r="I12" s="523"/>
      <c r="J12" s="556"/>
      <c r="K12" s="523"/>
      <c r="L12" s="556"/>
      <c r="M12" s="523"/>
      <c r="N12" s="556"/>
      <c r="O12" s="523"/>
      <c r="P12" s="556"/>
      <c r="Q12" s="523"/>
      <c r="R12" s="556"/>
      <c r="S12" s="523"/>
      <c r="T12" s="556"/>
      <c r="U12" s="523"/>
      <c r="V12" s="556"/>
      <c r="W12" s="523"/>
      <c r="X12" s="556"/>
      <c r="Y12" s="523"/>
      <c r="Z12" s="556"/>
      <c r="AA12" s="523"/>
      <c r="AB12" s="556"/>
      <c r="AC12" s="523"/>
      <c r="AD12" s="556"/>
      <c r="AE12" s="523"/>
      <c r="AF12" s="556"/>
      <c r="AG12" s="522"/>
      <c r="AH12" s="556"/>
      <c r="AI12" s="523"/>
      <c r="AJ12" s="556"/>
      <c r="AK12" s="523"/>
      <c r="AL12" s="556"/>
      <c r="AM12" s="523"/>
      <c r="AN12" s="556"/>
      <c r="AO12" s="523"/>
      <c r="AP12" s="556"/>
      <c r="AQ12" s="523"/>
      <c r="AR12" s="556"/>
      <c r="AS12" s="523"/>
      <c r="AT12" s="556"/>
      <c r="AU12" s="523"/>
      <c r="AV12" s="556"/>
      <c r="AW12" s="523"/>
      <c r="AX12" s="556"/>
      <c r="AY12" s="523"/>
      <c r="AZ12" s="556"/>
      <c r="BA12" s="523"/>
      <c r="BB12" s="556"/>
      <c r="BC12" s="523"/>
      <c r="BD12" s="556"/>
      <c r="BE12" s="523"/>
      <c r="BF12" s="556"/>
      <c r="BG12" s="523"/>
      <c r="BH12" s="556"/>
      <c r="BI12" s="523"/>
      <c r="BJ12" s="140"/>
      <c r="BK12" s="791"/>
    </row>
    <row r="13" spans="1:63" ht="25.15" customHeight="1">
      <c r="A13" s="240">
        <v>9</v>
      </c>
      <c r="B13" s="521">
        <f t="shared" si="0"/>
        <v>0</v>
      </c>
      <c r="C13" s="522"/>
      <c r="D13" s="556"/>
      <c r="E13" s="523"/>
      <c r="F13" s="556"/>
      <c r="G13" s="523"/>
      <c r="H13" s="556"/>
      <c r="I13" s="523"/>
      <c r="J13" s="556"/>
      <c r="K13" s="523"/>
      <c r="L13" s="556"/>
      <c r="M13" s="523"/>
      <c r="N13" s="556"/>
      <c r="O13" s="523"/>
      <c r="P13" s="556"/>
      <c r="Q13" s="523"/>
      <c r="R13" s="556"/>
      <c r="S13" s="523"/>
      <c r="T13" s="556"/>
      <c r="U13" s="523"/>
      <c r="V13" s="556"/>
      <c r="W13" s="523"/>
      <c r="X13" s="556"/>
      <c r="Y13" s="523"/>
      <c r="Z13" s="556"/>
      <c r="AA13" s="523"/>
      <c r="AB13" s="556"/>
      <c r="AC13" s="523"/>
      <c r="AD13" s="556"/>
      <c r="AE13" s="523"/>
      <c r="AF13" s="556"/>
      <c r="AG13" s="522"/>
      <c r="AH13" s="556"/>
      <c r="AI13" s="523"/>
      <c r="AJ13" s="556"/>
      <c r="AK13" s="523"/>
      <c r="AL13" s="556"/>
      <c r="AM13" s="523"/>
      <c r="AN13" s="556"/>
      <c r="AO13" s="523"/>
      <c r="AP13" s="556"/>
      <c r="AQ13" s="523"/>
      <c r="AR13" s="556"/>
      <c r="AS13" s="523"/>
      <c r="AT13" s="556"/>
      <c r="AU13" s="523"/>
      <c r="AV13" s="556"/>
      <c r="AW13" s="523"/>
      <c r="AX13" s="556"/>
      <c r="AY13" s="523"/>
      <c r="AZ13" s="556"/>
      <c r="BA13" s="523"/>
      <c r="BB13" s="556"/>
      <c r="BC13" s="523"/>
      <c r="BD13" s="556"/>
      <c r="BE13" s="523"/>
      <c r="BF13" s="556"/>
      <c r="BG13" s="523"/>
      <c r="BH13" s="556"/>
      <c r="BI13" s="523"/>
      <c r="BJ13" s="140"/>
      <c r="BK13" s="791"/>
    </row>
    <row r="14" spans="1:63" ht="25.15" customHeight="1">
      <c r="A14" s="240">
        <v>10</v>
      </c>
      <c r="B14" s="521">
        <f t="shared" si="0"/>
        <v>0</v>
      </c>
      <c r="C14" s="522"/>
      <c r="D14" s="556"/>
      <c r="E14" s="523"/>
      <c r="F14" s="556"/>
      <c r="G14" s="523"/>
      <c r="H14" s="556"/>
      <c r="I14" s="523"/>
      <c r="J14" s="556"/>
      <c r="K14" s="523"/>
      <c r="L14" s="556"/>
      <c r="M14" s="523"/>
      <c r="N14" s="556"/>
      <c r="O14" s="523"/>
      <c r="P14" s="556"/>
      <c r="Q14" s="523"/>
      <c r="R14" s="556"/>
      <c r="S14" s="523"/>
      <c r="T14" s="556"/>
      <c r="U14" s="523"/>
      <c r="V14" s="556"/>
      <c r="W14" s="523"/>
      <c r="X14" s="556"/>
      <c r="Y14" s="523"/>
      <c r="Z14" s="556"/>
      <c r="AA14" s="523"/>
      <c r="AB14" s="556"/>
      <c r="AC14" s="523"/>
      <c r="AD14" s="556"/>
      <c r="AE14" s="523"/>
      <c r="AF14" s="556"/>
      <c r="AG14" s="522"/>
      <c r="AH14" s="556"/>
      <c r="AI14" s="523"/>
      <c r="AJ14" s="556"/>
      <c r="AK14" s="523"/>
      <c r="AL14" s="556"/>
      <c r="AM14" s="523"/>
      <c r="AN14" s="556"/>
      <c r="AO14" s="523"/>
      <c r="AP14" s="556"/>
      <c r="AQ14" s="523"/>
      <c r="AR14" s="556"/>
      <c r="AS14" s="523"/>
      <c r="AT14" s="556"/>
      <c r="AU14" s="523"/>
      <c r="AV14" s="556"/>
      <c r="AW14" s="523"/>
      <c r="AX14" s="556"/>
      <c r="AY14" s="523"/>
      <c r="AZ14" s="556"/>
      <c r="BA14" s="523"/>
      <c r="BB14" s="556"/>
      <c r="BC14" s="523"/>
      <c r="BD14" s="556"/>
      <c r="BE14" s="523"/>
      <c r="BF14" s="556"/>
      <c r="BG14" s="523"/>
      <c r="BH14" s="556"/>
      <c r="BI14" s="523"/>
      <c r="BJ14" s="140"/>
      <c r="BK14" s="791"/>
    </row>
    <row r="15" spans="1:63" ht="25.15" customHeight="1">
      <c r="A15" s="240">
        <v>11</v>
      </c>
      <c r="B15" s="521">
        <f t="shared" si="0"/>
        <v>0</v>
      </c>
      <c r="C15" s="522"/>
      <c r="D15" s="556"/>
      <c r="E15" s="523"/>
      <c r="F15" s="556"/>
      <c r="G15" s="523"/>
      <c r="H15" s="556"/>
      <c r="I15" s="523"/>
      <c r="J15" s="556"/>
      <c r="K15" s="523"/>
      <c r="L15" s="556"/>
      <c r="M15" s="523"/>
      <c r="N15" s="556"/>
      <c r="O15" s="523"/>
      <c r="P15" s="556"/>
      <c r="Q15" s="523"/>
      <c r="R15" s="556"/>
      <c r="S15" s="523"/>
      <c r="T15" s="556"/>
      <c r="U15" s="523"/>
      <c r="V15" s="556"/>
      <c r="W15" s="523"/>
      <c r="X15" s="556"/>
      <c r="Y15" s="523"/>
      <c r="Z15" s="556"/>
      <c r="AA15" s="523"/>
      <c r="AB15" s="556"/>
      <c r="AC15" s="523"/>
      <c r="AD15" s="556"/>
      <c r="AE15" s="523"/>
      <c r="AF15" s="556"/>
      <c r="AG15" s="522"/>
      <c r="AH15" s="556"/>
      <c r="AI15" s="523"/>
      <c r="AJ15" s="556"/>
      <c r="AK15" s="523"/>
      <c r="AL15" s="556"/>
      <c r="AM15" s="523"/>
      <c r="AN15" s="556"/>
      <c r="AO15" s="523"/>
      <c r="AP15" s="556"/>
      <c r="AQ15" s="523"/>
      <c r="AR15" s="556"/>
      <c r="AS15" s="523"/>
      <c r="AT15" s="556"/>
      <c r="AU15" s="523"/>
      <c r="AV15" s="556"/>
      <c r="AW15" s="523"/>
      <c r="AX15" s="556"/>
      <c r="AY15" s="523"/>
      <c r="AZ15" s="556"/>
      <c r="BA15" s="523"/>
      <c r="BB15" s="556"/>
      <c r="BC15" s="523"/>
      <c r="BD15" s="556"/>
      <c r="BE15" s="523"/>
      <c r="BF15" s="556"/>
      <c r="BG15" s="523"/>
      <c r="BH15" s="556"/>
      <c r="BI15" s="523"/>
      <c r="BJ15" s="140"/>
      <c r="BK15" s="791"/>
    </row>
    <row r="16" spans="1:63" ht="25.15" customHeight="1">
      <c r="A16" s="240">
        <v>12</v>
      </c>
      <c r="B16" s="521">
        <f t="shared" si="0"/>
        <v>0</v>
      </c>
      <c r="C16" s="522"/>
      <c r="D16" s="556"/>
      <c r="E16" s="523"/>
      <c r="F16" s="556"/>
      <c r="G16" s="523"/>
      <c r="H16" s="556"/>
      <c r="I16" s="523"/>
      <c r="J16" s="556"/>
      <c r="K16" s="523"/>
      <c r="L16" s="556"/>
      <c r="M16" s="523"/>
      <c r="N16" s="556"/>
      <c r="O16" s="523"/>
      <c r="P16" s="556"/>
      <c r="Q16" s="523"/>
      <c r="R16" s="556"/>
      <c r="S16" s="523"/>
      <c r="T16" s="556"/>
      <c r="U16" s="523"/>
      <c r="V16" s="556"/>
      <c r="W16" s="523"/>
      <c r="X16" s="556"/>
      <c r="Y16" s="523"/>
      <c r="Z16" s="556"/>
      <c r="AA16" s="523"/>
      <c r="AB16" s="556"/>
      <c r="AC16" s="523"/>
      <c r="AD16" s="556"/>
      <c r="AE16" s="523"/>
      <c r="AF16" s="556"/>
      <c r="AG16" s="522"/>
      <c r="AH16" s="556"/>
      <c r="AI16" s="523"/>
      <c r="AJ16" s="556"/>
      <c r="AK16" s="523"/>
      <c r="AL16" s="556"/>
      <c r="AM16" s="523"/>
      <c r="AN16" s="556"/>
      <c r="AO16" s="523"/>
      <c r="AP16" s="556"/>
      <c r="AQ16" s="523"/>
      <c r="AR16" s="556"/>
      <c r="AS16" s="523"/>
      <c r="AT16" s="556"/>
      <c r="AU16" s="523"/>
      <c r="AV16" s="556"/>
      <c r="AW16" s="523"/>
      <c r="AX16" s="556"/>
      <c r="AY16" s="523"/>
      <c r="AZ16" s="556"/>
      <c r="BA16" s="523"/>
      <c r="BB16" s="556"/>
      <c r="BC16" s="523"/>
      <c r="BD16" s="556"/>
      <c r="BE16" s="523"/>
      <c r="BF16" s="556"/>
      <c r="BG16" s="523"/>
      <c r="BH16" s="556"/>
      <c r="BI16" s="523"/>
      <c r="BJ16" s="140"/>
      <c r="BK16" s="791"/>
    </row>
    <row r="17" spans="1:63" ht="25.15" customHeight="1">
      <c r="A17" s="240">
        <v>13</v>
      </c>
      <c r="B17" s="521">
        <f t="shared" si="0"/>
        <v>0</v>
      </c>
      <c r="C17" s="522"/>
      <c r="D17" s="556"/>
      <c r="E17" s="523"/>
      <c r="F17" s="556"/>
      <c r="G17" s="523"/>
      <c r="H17" s="556"/>
      <c r="I17" s="523"/>
      <c r="J17" s="556"/>
      <c r="K17" s="523"/>
      <c r="L17" s="556"/>
      <c r="M17" s="523"/>
      <c r="N17" s="556"/>
      <c r="O17" s="523"/>
      <c r="P17" s="556"/>
      <c r="Q17" s="523"/>
      <c r="R17" s="556"/>
      <c r="S17" s="523"/>
      <c r="T17" s="556"/>
      <c r="U17" s="523"/>
      <c r="V17" s="556"/>
      <c r="W17" s="523"/>
      <c r="X17" s="556"/>
      <c r="Y17" s="523"/>
      <c r="Z17" s="556"/>
      <c r="AA17" s="523"/>
      <c r="AB17" s="556"/>
      <c r="AC17" s="523"/>
      <c r="AD17" s="556"/>
      <c r="AE17" s="523"/>
      <c r="AF17" s="556"/>
      <c r="AG17" s="522"/>
      <c r="AH17" s="556"/>
      <c r="AI17" s="523"/>
      <c r="AJ17" s="556"/>
      <c r="AK17" s="523"/>
      <c r="AL17" s="556"/>
      <c r="AM17" s="523"/>
      <c r="AN17" s="556"/>
      <c r="AO17" s="523"/>
      <c r="AP17" s="556"/>
      <c r="AQ17" s="523"/>
      <c r="AR17" s="556"/>
      <c r="AS17" s="523"/>
      <c r="AT17" s="556"/>
      <c r="AU17" s="523"/>
      <c r="AV17" s="556"/>
      <c r="AW17" s="523"/>
      <c r="AX17" s="556"/>
      <c r="AY17" s="523"/>
      <c r="AZ17" s="556"/>
      <c r="BA17" s="523"/>
      <c r="BB17" s="556"/>
      <c r="BC17" s="523"/>
      <c r="BD17" s="556"/>
      <c r="BE17" s="523"/>
      <c r="BF17" s="556"/>
      <c r="BG17" s="523"/>
      <c r="BH17" s="556"/>
      <c r="BI17" s="523"/>
      <c r="BJ17" s="140"/>
      <c r="BK17" s="791"/>
    </row>
    <row r="18" spans="1:63" ht="25.15" customHeight="1">
      <c r="A18" s="240">
        <v>14</v>
      </c>
      <c r="B18" s="521">
        <f t="shared" si="0"/>
        <v>0</v>
      </c>
      <c r="C18" s="522"/>
      <c r="D18" s="556"/>
      <c r="E18" s="523"/>
      <c r="F18" s="556"/>
      <c r="G18" s="523"/>
      <c r="H18" s="556"/>
      <c r="I18" s="523"/>
      <c r="J18" s="556"/>
      <c r="K18" s="523"/>
      <c r="L18" s="556"/>
      <c r="M18" s="523"/>
      <c r="N18" s="556"/>
      <c r="O18" s="523"/>
      <c r="P18" s="556"/>
      <c r="Q18" s="523"/>
      <c r="R18" s="556"/>
      <c r="S18" s="523"/>
      <c r="T18" s="556"/>
      <c r="U18" s="523"/>
      <c r="V18" s="556"/>
      <c r="W18" s="523"/>
      <c r="X18" s="556"/>
      <c r="Y18" s="523"/>
      <c r="Z18" s="556"/>
      <c r="AA18" s="523"/>
      <c r="AB18" s="556"/>
      <c r="AC18" s="523"/>
      <c r="AD18" s="556"/>
      <c r="AE18" s="523"/>
      <c r="AF18" s="556"/>
      <c r="AG18" s="522"/>
      <c r="AH18" s="556"/>
      <c r="AI18" s="523"/>
      <c r="AJ18" s="556"/>
      <c r="AK18" s="523"/>
      <c r="AL18" s="556"/>
      <c r="AM18" s="523"/>
      <c r="AN18" s="556"/>
      <c r="AO18" s="523"/>
      <c r="AP18" s="556"/>
      <c r="AQ18" s="523"/>
      <c r="AR18" s="556"/>
      <c r="AS18" s="523"/>
      <c r="AT18" s="556"/>
      <c r="AU18" s="523"/>
      <c r="AV18" s="556"/>
      <c r="AW18" s="523"/>
      <c r="AX18" s="556"/>
      <c r="AY18" s="523"/>
      <c r="AZ18" s="556"/>
      <c r="BA18" s="523"/>
      <c r="BB18" s="556"/>
      <c r="BC18" s="523"/>
      <c r="BD18" s="556"/>
      <c r="BE18" s="523"/>
      <c r="BF18" s="556"/>
      <c r="BG18" s="523"/>
      <c r="BH18" s="556"/>
      <c r="BI18" s="523"/>
      <c r="BJ18" s="140"/>
      <c r="BK18" s="791"/>
    </row>
    <row r="19" spans="1:63" ht="25.15" customHeight="1">
      <c r="A19" s="240">
        <v>15</v>
      </c>
      <c r="B19" s="521">
        <f t="shared" si="0"/>
        <v>0</v>
      </c>
      <c r="C19" s="522"/>
      <c r="D19" s="556"/>
      <c r="E19" s="523"/>
      <c r="F19" s="556"/>
      <c r="G19" s="523"/>
      <c r="H19" s="556"/>
      <c r="I19" s="523"/>
      <c r="J19" s="556"/>
      <c r="K19" s="523"/>
      <c r="L19" s="556"/>
      <c r="M19" s="523"/>
      <c r="N19" s="556"/>
      <c r="O19" s="523"/>
      <c r="P19" s="556"/>
      <c r="Q19" s="523"/>
      <c r="R19" s="556"/>
      <c r="S19" s="523"/>
      <c r="T19" s="556"/>
      <c r="U19" s="523"/>
      <c r="V19" s="556"/>
      <c r="W19" s="523"/>
      <c r="X19" s="556"/>
      <c r="Y19" s="523"/>
      <c r="Z19" s="556"/>
      <c r="AA19" s="523"/>
      <c r="AB19" s="556"/>
      <c r="AC19" s="523"/>
      <c r="AD19" s="556"/>
      <c r="AE19" s="523"/>
      <c r="AF19" s="556"/>
      <c r="AG19" s="522"/>
      <c r="AH19" s="556"/>
      <c r="AI19" s="523"/>
      <c r="AJ19" s="556"/>
      <c r="AK19" s="523"/>
      <c r="AL19" s="556"/>
      <c r="AM19" s="523"/>
      <c r="AN19" s="556"/>
      <c r="AO19" s="523"/>
      <c r="AP19" s="556"/>
      <c r="AQ19" s="523"/>
      <c r="AR19" s="556"/>
      <c r="AS19" s="523"/>
      <c r="AT19" s="556"/>
      <c r="AU19" s="523"/>
      <c r="AV19" s="556"/>
      <c r="AW19" s="523"/>
      <c r="AX19" s="556"/>
      <c r="AY19" s="523"/>
      <c r="AZ19" s="556"/>
      <c r="BA19" s="523"/>
      <c r="BB19" s="556"/>
      <c r="BC19" s="523"/>
      <c r="BD19" s="556"/>
      <c r="BE19" s="523"/>
      <c r="BF19" s="556"/>
      <c r="BG19" s="523"/>
      <c r="BH19" s="556"/>
      <c r="BI19" s="523"/>
      <c r="BJ19" s="140"/>
      <c r="BK19" s="791"/>
    </row>
    <row r="20" spans="1:63" ht="25.15" customHeight="1">
      <c r="A20" s="240">
        <v>16</v>
      </c>
      <c r="B20" s="521">
        <f t="shared" si="0"/>
        <v>0</v>
      </c>
      <c r="C20" s="522"/>
      <c r="D20" s="556"/>
      <c r="E20" s="523"/>
      <c r="F20" s="556"/>
      <c r="G20" s="523"/>
      <c r="H20" s="556"/>
      <c r="I20" s="523"/>
      <c r="J20" s="556"/>
      <c r="K20" s="523"/>
      <c r="L20" s="556"/>
      <c r="M20" s="523"/>
      <c r="N20" s="556"/>
      <c r="O20" s="523"/>
      <c r="P20" s="556"/>
      <c r="Q20" s="523"/>
      <c r="R20" s="556"/>
      <c r="S20" s="523"/>
      <c r="T20" s="562"/>
      <c r="U20" s="524"/>
      <c r="V20" s="557"/>
      <c r="W20" s="523"/>
      <c r="X20" s="557"/>
      <c r="Y20" s="523"/>
      <c r="Z20" s="557"/>
      <c r="AA20" s="523"/>
      <c r="AB20" s="557"/>
      <c r="AC20" s="523"/>
      <c r="AD20" s="557"/>
      <c r="AE20" s="523"/>
      <c r="AF20" s="557"/>
      <c r="AG20" s="522"/>
      <c r="AH20" s="556"/>
      <c r="AI20" s="523"/>
      <c r="AJ20" s="556"/>
      <c r="AK20" s="523"/>
      <c r="AL20" s="556"/>
      <c r="AM20" s="523"/>
      <c r="AN20" s="556"/>
      <c r="AO20" s="523"/>
      <c r="AP20" s="556"/>
      <c r="AQ20" s="523"/>
      <c r="AR20" s="556"/>
      <c r="AS20" s="523"/>
      <c r="AT20" s="556"/>
      <c r="AU20" s="523"/>
      <c r="AV20" s="556"/>
      <c r="AW20" s="523"/>
      <c r="AX20" s="562"/>
      <c r="AY20" s="524"/>
      <c r="AZ20" s="557"/>
      <c r="BA20" s="523"/>
      <c r="BB20" s="557"/>
      <c r="BC20" s="523"/>
      <c r="BD20" s="557"/>
      <c r="BE20" s="523"/>
      <c r="BF20" s="557"/>
      <c r="BG20" s="523"/>
      <c r="BH20" s="557"/>
      <c r="BI20" s="523"/>
      <c r="BJ20" s="140"/>
      <c r="BK20" s="791"/>
    </row>
    <row r="21" spans="1:63" ht="25.15" customHeight="1">
      <c r="A21" s="240">
        <v>17</v>
      </c>
      <c r="B21" s="521">
        <f t="shared" si="0"/>
        <v>0</v>
      </c>
      <c r="C21" s="522"/>
      <c r="D21" s="556"/>
      <c r="E21" s="523"/>
      <c r="F21" s="556"/>
      <c r="G21" s="523"/>
      <c r="H21" s="556"/>
      <c r="I21" s="523"/>
      <c r="J21" s="556"/>
      <c r="K21" s="523"/>
      <c r="L21" s="556"/>
      <c r="M21" s="523"/>
      <c r="N21" s="556"/>
      <c r="O21" s="523"/>
      <c r="P21" s="556"/>
      <c r="Q21" s="523"/>
      <c r="R21" s="556"/>
      <c r="S21" s="523"/>
      <c r="T21" s="557"/>
      <c r="U21" s="523"/>
      <c r="V21" s="556"/>
      <c r="W21" s="523"/>
      <c r="X21" s="556"/>
      <c r="Y21" s="523"/>
      <c r="Z21" s="556"/>
      <c r="AA21" s="523"/>
      <c r="AB21" s="556"/>
      <c r="AC21" s="523"/>
      <c r="AD21" s="556"/>
      <c r="AE21" s="523"/>
      <c r="AF21" s="556"/>
      <c r="AG21" s="522"/>
      <c r="AH21" s="556"/>
      <c r="AI21" s="523"/>
      <c r="AJ21" s="556"/>
      <c r="AK21" s="523"/>
      <c r="AL21" s="556"/>
      <c r="AM21" s="523"/>
      <c r="AN21" s="556"/>
      <c r="AO21" s="523"/>
      <c r="AP21" s="556"/>
      <c r="AQ21" s="523"/>
      <c r="AR21" s="556"/>
      <c r="AS21" s="523"/>
      <c r="AT21" s="556"/>
      <c r="AU21" s="523"/>
      <c r="AV21" s="556"/>
      <c r="AW21" s="523"/>
      <c r="AX21" s="557"/>
      <c r="AY21" s="523"/>
      <c r="AZ21" s="556"/>
      <c r="BA21" s="523"/>
      <c r="BB21" s="556"/>
      <c r="BC21" s="523"/>
      <c r="BD21" s="556"/>
      <c r="BE21" s="523"/>
      <c r="BF21" s="556"/>
      <c r="BG21" s="523"/>
      <c r="BH21" s="556"/>
      <c r="BI21" s="523"/>
      <c r="BJ21" s="140"/>
      <c r="BK21" s="791"/>
    </row>
    <row r="22" spans="1:63" ht="25.15" customHeight="1">
      <c r="A22" s="240">
        <v>18</v>
      </c>
      <c r="B22" s="521">
        <f t="shared" si="0"/>
        <v>0</v>
      </c>
      <c r="C22" s="522"/>
      <c r="D22" s="556"/>
      <c r="E22" s="523"/>
      <c r="F22" s="557"/>
      <c r="G22" s="523"/>
      <c r="H22" s="556"/>
      <c r="I22" s="523"/>
      <c r="J22" s="556"/>
      <c r="K22" s="523"/>
      <c r="L22" s="556"/>
      <c r="M22" s="523"/>
      <c r="N22" s="556"/>
      <c r="O22" s="523"/>
      <c r="P22" s="556"/>
      <c r="Q22" s="523"/>
      <c r="R22" s="556"/>
      <c r="S22" s="523"/>
      <c r="T22" s="556"/>
      <c r="U22" s="523"/>
      <c r="V22" s="557"/>
      <c r="W22" s="523"/>
      <c r="X22" s="556"/>
      <c r="Y22" s="523"/>
      <c r="Z22" s="556"/>
      <c r="AA22" s="523"/>
      <c r="AB22" s="556"/>
      <c r="AC22" s="523"/>
      <c r="AD22" s="556"/>
      <c r="AE22" s="523"/>
      <c r="AF22" s="556"/>
      <c r="AG22" s="522"/>
      <c r="AH22" s="556"/>
      <c r="AI22" s="523"/>
      <c r="AJ22" s="557"/>
      <c r="AK22" s="523"/>
      <c r="AL22" s="556"/>
      <c r="AM22" s="523"/>
      <c r="AN22" s="556"/>
      <c r="AO22" s="523"/>
      <c r="AP22" s="556"/>
      <c r="AQ22" s="523"/>
      <c r="AR22" s="556"/>
      <c r="AS22" s="523"/>
      <c r="AT22" s="556"/>
      <c r="AU22" s="523"/>
      <c r="AV22" s="556"/>
      <c r="AW22" s="523"/>
      <c r="AX22" s="556"/>
      <c r="AY22" s="523"/>
      <c r="AZ22" s="557"/>
      <c r="BA22" s="523"/>
      <c r="BB22" s="556"/>
      <c r="BC22" s="523"/>
      <c r="BD22" s="556"/>
      <c r="BE22" s="523"/>
      <c r="BF22" s="556"/>
      <c r="BG22" s="523"/>
      <c r="BH22" s="556"/>
      <c r="BI22" s="523"/>
      <c r="BJ22" s="140"/>
      <c r="BK22" s="791"/>
    </row>
    <row r="23" spans="1:63" ht="25.15" customHeight="1">
      <c r="A23" s="240">
        <v>19</v>
      </c>
      <c r="B23" s="521">
        <f t="shared" si="0"/>
        <v>0</v>
      </c>
      <c r="C23" s="522"/>
      <c r="D23" s="557"/>
      <c r="E23" s="523"/>
      <c r="F23" s="556"/>
      <c r="G23" s="523"/>
      <c r="H23" s="557"/>
      <c r="I23" s="523"/>
      <c r="J23" s="557"/>
      <c r="K23" s="523"/>
      <c r="L23" s="557"/>
      <c r="M23" s="523"/>
      <c r="N23" s="557"/>
      <c r="O23" s="523"/>
      <c r="P23" s="557"/>
      <c r="Q23" s="523"/>
      <c r="R23" s="556"/>
      <c r="S23" s="523"/>
      <c r="T23" s="556"/>
      <c r="U23" s="523"/>
      <c r="V23" s="556"/>
      <c r="W23" s="523"/>
      <c r="X23" s="556"/>
      <c r="Y23" s="523"/>
      <c r="Z23" s="556"/>
      <c r="AA23" s="523"/>
      <c r="AB23" s="556"/>
      <c r="AC23" s="523"/>
      <c r="AD23" s="556"/>
      <c r="AE23" s="523"/>
      <c r="AF23" s="556"/>
      <c r="AG23" s="522"/>
      <c r="AH23" s="557"/>
      <c r="AI23" s="523"/>
      <c r="AJ23" s="556"/>
      <c r="AK23" s="523"/>
      <c r="AL23" s="557"/>
      <c r="AM23" s="523"/>
      <c r="AN23" s="557"/>
      <c r="AO23" s="523"/>
      <c r="AP23" s="557"/>
      <c r="AQ23" s="523"/>
      <c r="AR23" s="557"/>
      <c r="AS23" s="523"/>
      <c r="AT23" s="557"/>
      <c r="AU23" s="523"/>
      <c r="AV23" s="556"/>
      <c r="AW23" s="523"/>
      <c r="AX23" s="556"/>
      <c r="AY23" s="523"/>
      <c r="AZ23" s="556"/>
      <c r="BA23" s="523"/>
      <c r="BB23" s="556"/>
      <c r="BC23" s="523"/>
      <c r="BD23" s="556"/>
      <c r="BE23" s="523"/>
      <c r="BF23" s="556"/>
      <c r="BG23" s="523"/>
      <c r="BH23" s="556"/>
      <c r="BI23" s="523"/>
      <c r="BJ23" s="183"/>
      <c r="BK23" s="791"/>
    </row>
    <row r="24" spans="1:63" ht="25.15" customHeight="1">
      <c r="A24" s="240">
        <v>20</v>
      </c>
      <c r="B24" s="521">
        <f t="shared" si="0"/>
        <v>0</v>
      </c>
      <c r="C24" s="522"/>
      <c r="D24" s="556"/>
      <c r="E24" s="523"/>
      <c r="F24" s="556"/>
      <c r="G24" s="523"/>
      <c r="H24" s="556"/>
      <c r="I24" s="523"/>
      <c r="J24" s="556"/>
      <c r="K24" s="523"/>
      <c r="L24" s="556"/>
      <c r="M24" s="523"/>
      <c r="N24" s="556"/>
      <c r="O24" s="523"/>
      <c r="P24" s="556"/>
      <c r="Q24" s="523"/>
      <c r="R24" s="557"/>
      <c r="S24" s="523"/>
      <c r="T24" s="556"/>
      <c r="U24" s="523"/>
      <c r="V24" s="556"/>
      <c r="W24" s="523"/>
      <c r="X24" s="556"/>
      <c r="Y24" s="523"/>
      <c r="Z24" s="556"/>
      <c r="AA24" s="523"/>
      <c r="AB24" s="556"/>
      <c r="AC24" s="523"/>
      <c r="AD24" s="556"/>
      <c r="AE24" s="523"/>
      <c r="AF24" s="556"/>
      <c r="AG24" s="522"/>
      <c r="AH24" s="556"/>
      <c r="AI24" s="523"/>
      <c r="AJ24" s="556"/>
      <c r="AK24" s="523"/>
      <c r="AL24" s="556"/>
      <c r="AM24" s="523"/>
      <c r="AN24" s="556"/>
      <c r="AO24" s="523"/>
      <c r="AP24" s="556"/>
      <c r="AQ24" s="523"/>
      <c r="AR24" s="556"/>
      <c r="AS24" s="523"/>
      <c r="AT24" s="556"/>
      <c r="AU24" s="523"/>
      <c r="AV24" s="557"/>
      <c r="AW24" s="523"/>
      <c r="AX24" s="556"/>
      <c r="AY24" s="523"/>
      <c r="AZ24" s="556"/>
      <c r="BA24" s="523"/>
      <c r="BB24" s="556"/>
      <c r="BC24" s="523"/>
      <c r="BD24" s="556"/>
      <c r="BE24" s="523"/>
      <c r="BF24" s="556"/>
      <c r="BG24" s="523"/>
      <c r="BH24" s="556"/>
      <c r="BI24" s="523"/>
      <c r="BJ24" s="183"/>
      <c r="BK24" s="791"/>
    </row>
    <row r="25" spans="1:63" ht="25.15" customHeight="1">
      <c r="A25" s="240">
        <v>21</v>
      </c>
      <c r="B25" s="521">
        <f t="shared" si="0"/>
        <v>0</v>
      </c>
      <c r="C25" s="522"/>
      <c r="D25" s="556"/>
      <c r="E25" s="523"/>
      <c r="F25" s="556"/>
      <c r="G25" s="523"/>
      <c r="H25" s="556"/>
      <c r="I25" s="523"/>
      <c r="J25" s="556"/>
      <c r="K25" s="523"/>
      <c r="L25" s="556"/>
      <c r="M25" s="523"/>
      <c r="N25" s="556"/>
      <c r="O25" s="523"/>
      <c r="P25" s="556"/>
      <c r="Q25" s="523"/>
      <c r="R25" s="556"/>
      <c r="S25" s="523"/>
      <c r="T25" s="556"/>
      <c r="U25" s="523"/>
      <c r="V25" s="556"/>
      <c r="W25" s="523"/>
      <c r="X25" s="556"/>
      <c r="Y25" s="523"/>
      <c r="Z25" s="556"/>
      <c r="AA25" s="523"/>
      <c r="AB25" s="556"/>
      <c r="AC25" s="523"/>
      <c r="AD25" s="556"/>
      <c r="AE25" s="523"/>
      <c r="AF25" s="556"/>
      <c r="AG25" s="522"/>
      <c r="AH25" s="556"/>
      <c r="AI25" s="523"/>
      <c r="AJ25" s="556"/>
      <c r="AK25" s="523"/>
      <c r="AL25" s="556"/>
      <c r="AM25" s="523"/>
      <c r="AN25" s="556"/>
      <c r="AO25" s="523"/>
      <c r="AP25" s="556"/>
      <c r="AQ25" s="523"/>
      <c r="AR25" s="556"/>
      <c r="AS25" s="523"/>
      <c r="AT25" s="556"/>
      <c r="AU25" s="523"/>
      <c r="AV25" s="556"/>
      <c r="AW25" s="523"/>
      <c r="AX25" s="556"/>
      <c r="AY25" s="523"/>
      <c r="AZ25" s="556"/>
      <c r="BA25" s="523"/>
      <c r="BB25" s="556"/>
      <c r="BC25" s="523"/>
      <c r="BD25" s="556"/>
      <c r="BE25" s="523"/>
      <c r="BF25" s="556"/>
      <c r="BG25" s="523"/>
      <c r="BH25" s="556"/>
      <c r="BI25" s="523"/>
      <c r="BJ25" s="140"/>
      <c r="BK25" s="791"/>
    </row>
    <row r="26" spans="1:63" ht="25.15" customHeight="1">
      <c r="A26" s="240">
        <v>22</v>
      </c>
      <c r="B26" s="521">
        <f t="shared" si="0"/>
        <v>0</v>
      </c>
      <c r="C26" s="522"/>
      <c r="D26" s="556"/>
      <c r="E26" s="523"/>
      <c r="F26" s="556"/>
      <c r="G26" s="523"/>
      <c r="H26" s="556"/>
      <c r="I26" s="523"/>
      <c r="J26" s="556"/>
      <c r="K26" s="523"/>
      <c r="L26" s="556"/>
      <c r="M26" s="523"/>
      <c r="N26" s="556"/>
      <c r="O26" s="523"/>
      <c r="P26" s="556"/>
      <c r="Q26" s="523"/>
      <c r="R26" s="556"/>
      <c r="S26" s="523"/>
      <c r="T26" s="556"/>
      <c r="U26" s="523"/>
      <c r="V26" s="556"/>
      <c r="W26" s="523"/>
      <c r="X26" s="556"/>
      <c r="Y26" s="523"/>
      <c r="Z26" s="556"/>
      <c r="AA26" s="523"/>
      <c r="AB26" s="556"/>
      <c r="AC26" s="523"/>
      <c r="AD26" s="556"/>
      <c r="AE26" s="523"/>
      <c r="AF26" s="556"/>
      <c r="AG26" s="522"/>
      <c r="AH26" s="556"/>
      <c r="AI26" s="523"/>
      <c r="AJ26" s="556"/>
      <c r="AK26" s="523"/>
      <c r="AL26" s="556"/>
      <c r="AM26" s="523"/>
      <c r="AN26" s="556"/>
      <c r="AO26" s="523"/>
      <c r="AP26" s="556"/>
      <c r="AQ26" s="523"/>
      <c r="AR26" s="556"/>
      <c r="AS26" s="523"/>
      <c r="AT26" s="556"/>
      <c r="AU26" s="523"/>
      <c r="AV26" s="556"/>
      <c r="AW26" s="523"/>
      <c r="AX26" s="556"/>
      <c r="AY26" s="523"/>
      <c r="AZ26" s="556"/>
      <c r="BA26" s="523"/>
      <c r="BB26" s="556"/>
      <c r="BC26" s="523"/>
      <c r="BD26" s="556"/>
      <c r="BE26" s="523"/>
      <c r="BF26" s="556"/>
      <c r="BG26" s="523"/>
      <c r="BH26" s="556"/>
      <c r="BI26" s="523"/>
      <c r="BJ26" s="140"/>
      <c r="BK26" s="791"/>
    </row>
    <row r="27" spans="1:63" ht="25.15" customHeight="1">
      <c r="A27" s="240">
        <v>23</v>
      </c>
      <c r="B27" s="521">
        <f t="shared" si="0"/>
        <v>0</v>
      </c>
      <c r="C27" s="522"/>
      <c r="D27" s="556"/>
      <c r="E27" s="523"/>
      <c r="F27" s="556"/>
      <c r="G27" s="523"/>
      <c r="H27" s="556"/>
      <c r="I27" s="523"/>
      <c r="J27" s="556"/>
      <c r="K27" s="523"/>
      <c r="L27" s="556"/>
      <c r="M27" s="523"/>
      <c r="N27" s="556"/>
      <c r="O27" s="523"/>
      <c r="P27" s="556"/>
      <c r="Q27" s="523"/>
      <c r="R27" s="556"/>
      <c r="S27" s="523"/>
      <c r="T27" s="556"/>
      <c r="U27" s="523"/>
      <c r="V27" s="556"/>
      <c r="W27" s="523"/>
      <c r="X27" s="556"/>
      <c r="Y27" s="523"/>
      <c r="Z27" s="556"/>
      <c r="AA27" s="523"/>
      <c r="AB27" s="556"/>
      <c r="AC27" s="523"/>
      <c r="AD27" s="556"/>
      <c r="AE27" s="523"/>
      <c r="AF27" s="556"/>
      <c r="AG27" s="522"/>
      <c r="AH27" s="556"/>
      <c r="AI27" s="523"/>
      <c r="AJ27" s="556"/>
      <c r="AK27" s="523"/>
      <c r="AL27" s="556"/>
      <c r="AM27" s="523"/>
      <c r="AN27" s="556"/>
      <c r="AO27" s="523"/>
      <c r="AP27" s="556"/>
      <c r="AQ27" s="523"/>
      <c r="AR27" s="556"/>
      <c r="AS27" s="523"/>
      <c r="AT27" s="556"/>
      <c r="AU27" s="523"/>
      <c r="AV27" s="556"/>
      <c r="AW27" s="523"/>
      <c r="AX27" s="556"/>
      <c r="AY27" s="523"/>
      <c r="AZ27" s="556"/>
      <c r="BA27" s="523"/>
      <c r="BB27" s="556"/>
      <c r="BC27" s="523"/>
      <c r="BD27" s="556"/>
      <c r="BE27" s="523"/>
      <c r="BF27" s="556"/>
      <c r="BG27" s="523"/>
      <c r="BH27" s="556"/>
      <c r="BI27" s="523"/>
      <c r="BJ27" s="140"/>
      <c r="BK27" s="791"/>
    </row>
    <row r="28" spans="1:63" ht="25.15" customHeight="1">
      <c r="A28" s="240">
        <v>24</v>
      </c>
      <c r="B28" s="521">
        <f t="shared" si="0"/>
        <v>0</v>
      </c>
      <c r="C28" s="522"/>
      <c r="D28" s="556"/>
      <c r="E28" s="523"/>
      <c r="F28" s="556"/>
      <c r="G28" s="523"/>
      <c r="H28" s="556"/>
      <c r="I28" s="523"/>
      <c r="J28" s="556"/>
      <c r="K28" s="523"/>
      <c r="L28" s="556"/>
      <c r="M28" s="523"/>
      <c r="N28" s="556"/>
      <c r="O28" s="523"/>
      <c r="P28" s="556"/>
      <c r="Q28" s="523"/>
      <c r="R28" s="556"/>
      <c r="S28" s="523"/>
      <c r="T28" s="556"/>
      <c r="U28" s="523"/>
      <c r="V28" s="556"/>
      <c r="W28" s="523"/>
      <c r="X28" s="556"/>
      <c r="Y28" s="523"/>
      <c r="Z28" s="556"/>
      <c r="AA28" s="523"/>
      <c r="AB28" s="556"/>
      <c r="AC28" s="523"/>
      <c r="AD28" s="556"/>
      <c r="AE28" s="523"/>
      <c r="AF28" s="556"/>
      <c r="AG28" s="522"/>
      <c r="AH28" s="556"/>
      <c r="AI28" s="523"/>
      <c r="AJ28" s="556"/>
      <c r="AK28" s="523"/>
      <c r="AL28" s="556"/>
      <c r="AM28" s="523"/>
      <c r="AN28" s="556"/>
      <c r="AO28" s="523"/>
      <c r="AP28" s="556"/>
      <c r="AQ28" s="523"/>
      <c r="AR28" s="556"/>
      <c r="AS28" s="523"/>
      <c r="AT28" s="556"/>
      <c r="AU28" s="523"/>
      <c r="AV28" s="556"/>
      <c r="AW28" s="523"/>
      <c r="AX28" s="556"/>
      <c r="AY28" s="523"/>
      <c r="AZ28" s="556"/>
      <c r="BA28" s="523"/>
      <c r="BB28" s="556"/>
      <c r="BC28" s="523"/>
      <c r="BD28" s="556"/>
      <c r="BE28" s="523"/>
      <c r="BF28" s="556"/>
      <c r="BG28" s="523"/>
      <c r="BH28" s="556"/>
      <c r="BI28" s="523"/>
      <c r="BJ28" s="140"/>
      <c r="BK28" s="791"/>
    </row>
    <row r="29" spans="1:63" ht="25.15" customHeight="1">
      <c r="A29" s="240">
        <v>25</v>
      </c>
      <c r="B29" s="521">
        <f t="shared" si="0"/>
        <v>0</v>
      </c>
      <c r="C29" s="522"/>
      <c r="D29" s="556"/>
      <c r="E29" s="523"/>
      <c r="F29" s="556"/>
      <c r="G29" s="523"/>
      <c r="H29" s="556"/>
      <c r="I29" s="523"/>
      <c r="J29" s="556"/>
      <c r="K29" s="523"/>
      <c r="L29" s="556"/>
      <c r="M29" s="523"/>
      <c r="N29" s="556"/>
      <c r="O29" s="523"/>
      <c r="P29" s="556"/>
      <c r="Q29" s="523"/>
      <c r="R29" s="556"/>
      <c r="S29" s="523"/>
      <c r="T29" s="556"/>
      <c r="U29" s="523"/>
      <c r="V29" s="556"/>
      <c r="W29" s="523"/>
      <c r="X29" s="556"/>
      <c r="Y29" s="523"/>
      <c r="Z29" s="556"/>
      <c r="AA29" s="523"/>
      <c r="AB29" s="556"/>
      <c r="AC29" s="523"/>
      <c r="AD29" s="556"/>
      <c r="AE29" s="523"/>
      <c r="AF29" s="556"/>
      <c r="AG29" s="522"/>
      <c r="AH29" s="556"/>
      <c r="AI29" s="523"/>
      <c r="AJ29" s="556"/>
      <c r="AK29" s="523"/>
      <c r="AL29" s="556"/>
      <c r="AM29" s="523"/>
      <c r="AN29" s="556"/>
      <c r="AO29" s="523"/>
      <c r="AP29" s="556"/>
      <c r="AQ29" s="523"/>
      <c r="AR29" s="556"/>
      <c r="AS29" s="523"/>
      <c r="AT29" s="556"/>
      <c r="AU29" s="523"/>
      <c r="AV29" s="556"/>
      <c r="AW29" s="523"/>
      <c r="AX29" s="556"/>
      <c r="AY29" s="523"/>
      <c r="AZ29" s="556"/>
      <c r="BA29" s="523"/>
      <c r="BB29" s="556"/>
      <c r="BC29" s="523"/>
      <c r="BD29" s="556"/>
      <c r="BE29" s="523"/>
      <c r="BF29" s="556"/>
      <c r="BG29" s="523"/>
      <c r="BH29" s="556"/>
      <c r="BI29" s="523"/>
      <c r="BJ29" s="140"/>
      <c r="BK29" s="791"/>
    </row>
    <row r="30" spans="1:63" ht="25.15" customHeight="1">
      <c r="A30" s="240">
        <v>26</v>
      </c>
      <c r="B30" s="521">
        <f t="shared" si="0"/>
        <v>0</v>
      </c>
      <c r="C30" s="522"/>
      <c r="D30" s="556"/>
      <c r="E30" s="523"/>
      <c r="F30" s="556"/>
      <c r="G30" s="523"/>
      <c r="H30" s="556"/>
      <c r="I30" s="523"/>
      <c r="J30" s="556"/>
      <c r="K30" s="523"/>
      <c r="L30" s="556"/>
      <c r="M30" s="523"/>
      <c r="N30" s="556"/>
      <c r="O30" s="523"/>
      <c r="P30" s="556"/>
      <c r="Q30" s="523"/>
      <c r="R30" s="556"/>
      <c r="S30" s="523"/>
      <c r="T30" s="556"/>
      <c r="U30" s="523"/>
      <c r="V30" s="556"/>
      <c r="W30" s="523"/>
      <c r="X30" s="556"/>
      <c r="Y30" s="523"/>
      <c r="Z30" s="556"/>
      <c r="AA30" s="523"/>
      <c r="AB30" s="556"/>
      <c r="AC30" s="523"/>
      <c r="AD30" s="556"/>
      <c r="AE30" s="523"/>
      <c r="AF30" s="556"/>
      <c r="AG30" s="522"/>
      <c r="AH30" s="556"/>
      <c r="AI30" s="523"/>
      <c r="AJ30" s="556"/>
      <c r="AK30" s="523"/>
      <c r="AL30" s="556"/>
      <c r="AM30" s="523"/>
      <c r="AN30" s="556"/>
      <c r="AO30" s="523"/>
      <c r="AP30" s="556"/>
      <c r="AQ30" s="523"/>
      <c r="AR30" s="556"/>
      <c r="AS30" s="523"/>
      <c r="AT30" s="556"/>
      <c r="AU30" s="523"/>
      <c r="AV30" s="556"/>
      <c r="AW30" s="523"/>
      <c r="AX30" s="556"/>
      <c r="AY30" s="523"/>
      <c r="AZ30" s="556"/>
      <c r="BA30" s="523"/>
      <c r="BB30" s="556"/>
      <c r="BC30" s="523"/>
      <c r="BD30" s="556"/>
      <c r="BE30" s="523"/>
      <c r="BF30" s="556"/>
      <c r="BG30" s="523"/>
      <c r="BH30" s="556"/>
      <c r="BI30" s="523"/>
      <c r="BJ30" s="140"/>
      <c r="BK30" s="791"/>
    </row>
    <row r="31" spans="1:63" ht="25.15" customHeight="1">
      <c r="A31" s="240">
        <v>27</v>
      </c>
      <c r="B31" s="521">
        <f t="shared" si="0"/>
        <v>0</v>
      </c>
      <c r="C31" s="522"/>
      <c r="D31" s="556"/>
      <c r="E31" s="523"/>
      <c r="F31" s="556"/>
      <c r="G31" s="523"/>
      <c r="H31" s="556"/>
      <c r="I31" s="523"/>
      <c r="J31" s="556"/>
      <c r="K31" s="523"/>
      <c r="L31" s="556"/>
      <c r="M31" s="523"/>
      <c r="N31" s="556"/>
      <c r="O31" s="523"/>
      <c r="P31" s="556"/>
      <c r="Q31" s="523"/>
      <c r="R31" s="556"/>
      <c r="S31" s="523"/>
      <c r="T31" s="556"/>
      <c r="U31" s="523"/>
      <c r="V31" s="556"/>
      <c r="W31" s="523"/>
      <c r="X31" s="556"/>
      <c r="Y31" s="523"/>
      <c r="Z31" s="556"/>
      <c r="AA31" s="523"/>
      <c r="AB31" s="556"/>
      <c r="AC31" s="523"/>
      <c r="AD31" s="556"/>
      <c r="AE31" s="523"/>
      <c r="AF31" s="556"/>
      <c r="AG31" s="522"/>
      <c r="AH31" s="556"/>
      <c r="AI31" s="523"/>
      <c r="AJ31" s="556"/>
      <c r="AK31" s="523"/>
      <c r="AL31" s="556"/>
      <c r="AM31" s="523"/>
      <c r="AN31" s="556"/>
      <c r="AO31" s="523"/>
      <c r="AP31" s="556"/>
      <c r="AQ31" s="523"/>
      <c r="AR31" s="556"/>
      <c r="AS31" s="523"/>
      <c r="AT31" s="556"/>
      <c r="AU31" s="523"/>
      <c r="AV31" s="556"/>
      <c r="AW31" s="523"/>
      <c r="AX31" s="556"/>
      <c r="AY31" s="523"/>
      <c r="AZ31" s="556"/>
      <c r="BA31" s="523"/>
      <c r="BB31" s="556"/>
      <c r="BC31" s="523"/>
      <c r="BD31" s="556"/>
      <c r="BE31" s="523"/>
      <c r="BF31" s="556"/>
      <c r="BG31" s="523"/>
      <c r="BH31" s="556"/>
      <c r="BI31" s="523"/>
      <c r="BJ31" s="140"/>
      <c r="BK31" s="791"/>
    </row>
    <row r="32" spans="1:63" ht="25.15" customHeight="1">
      <c r="A32" s="240">
        <v>28</v>
      </c>
      <c r="B32" s="521">
        <f t="shared" si="0"/>
        <v>0</v>
      </c>
      <c r="C32" s="522"/>
      <c r="D32" s="556"/>
      <c r="E32" s="523"/>
      <c r="F32" s="556"/>
      <c r="G32" s="523"/>
      <c r="H32" s="556"/>
      <c r="I32" s="523"/>
      <c r="J32" s="556"/>
      <c r="K32" s="523"/>
      <c r="L32" s="556"/>
      <c r="M32" s="523"/>
      <c r="N32" s="556"/>
      <c r="O32" s="523"/>
      <c r="P32" s="556"/>
      <c r="Q32" s="523"/>
      <c r="R32" s="556"/>
      <c r="S32" s="523"/>
      <c r="T32" s="556"/>
      <c r="U32" s="523"/>
      <c r="V32" s="556"/>
      <c r="W32" s="523"/>
      <c r="X32" s="556"/>
      <c r="Y32" s="523"/>
      <c r="Z32" s="556"/>
      <c r="AA32" s="523"/>
      <c r="AB32" s="556"/>
      <c r="AC32" s="523"/>
      <c r="AD32" s="556"/>
      <c r="AE32" s="523"/>
      <c r="AF32" s="556"/>
      <c r="AG32" s="522"/>
      <c r="AH32" s="556"/>
      <c r="AI32" s="523"/>
      <c r="AJ32" s="556"/>
      <c r="AK32" s="523"/>
      <c r="AL32" s="556"/>
      <c r="AM32" s="523"/>
      <c r="AN32" s="556"/>
      <c r="AO32" s="523"/>
      <c r="AP32" s="556"/>
      <c r="AQ32" s="523"/>
      <c r="AR32" s="556"/>
      <c r="AS32" s="523"/>
      <c r="AT32" s="556"/>
      <c r="AU32" s="523"/>
      <c r="AV32" s="556"/>
      <c r="AW32" s="523"/>
      <c r="AX32" s="556"/>
      <c r="AY32" s="523"/>
      <c r="AZ32" s="556"/>
      <c r="BA32" s="523"/>
      <c r="BB32" s="556"/>
      <c r="BC32" s="523"/>
      <c r="BD32" s="556"/>
      <c r="BE32" s="523"/>
      <c r="BF32" s="556"/>
      <c r="BG32" s="523"/>
      <c r="BH32" s="556"/>
      <c r="BI32" s="523"/>
      <c r="BJ32" s="140"/>
      <c r="BK32" s="791"/>
    </row>
    <row r="33" spans="1:63" ht="25.15" customHeight="1">
      <c r="A33" s="240">
        <v>29</v>
      </c>
      <c r="B33" s="521">
        <f>IF(DAY(EOMONTH(DATE(VALUE(RIGHT(MMYYYY,4)),VALUE(LEFT(MMYYYY,2)),1),0))&gt;=A33,C33+E33+G33+I33+K33+M33+O33+Q33+S33+U33+W33+Y33+AA33+AC33+AE33+AG33+AI33+AK33+AM33+AO33+AQ33+AS33+AU33+AW33+AY33+BA33+BC33+BE33+BG33+BI33,"")</f>
        <v>0</v>
      </c>
      <c r="C33" s="522"/>
      <c r="D33" s="556"/>
      <c r="E33" s="523"/>
      <c r="F33" s="556"/>
      <c r="G33" s="523"/>
      <c r="H33" s="556"/>
      <c r="I33" s="523"/>
      <c r="J33" s="556"/>
      <c r="K33" s="523"/>
      <c r="L33" s="556"/>
      <c r="M33" s="523"/>
      <c r="N33" s="556"/>
      <c r="O33" s="523"/>
      <c r="P33" s="556"/>
      <c r="Q33" s="523"/>
      <c r="R33" s="556"/>
      <c r="S33" s="523"/>
      <c r="T33" s="556"/>
      <c r="U33" s="523"/>
      <c r="V33" s="556"/>
      <c r="W33" s="523"/>
      <c r="X33" s="556"/>
      <c r="Y33" s="523"/>
      <c r="Z33" s="556"/>
      <c r="AA33" s="523"/>
      <c r="AB33" s="556"/>
      <c r="AC33" s="523"/>
      <c r="AD33" s="556"/>
      <c r="AE33" s="523"/>
      <c r="AF33" s="556"/>
      <c r="AG33" s="522"/>
      <c r="AH33" s="556"/>
      <c r="AI33" s="523"/>
      <c r="AJ33" s="556"/>
      <c r="AK33" s="523"/>
      <c r="AL33" s="556"/>
      <c r="AM33" s="523"/>
      <c r="AN33" s="556"/>
      <c r="AO33" s="523"/>
      <c r="AP33" s="556"/>
      <c r="AQ33" s="523"/>
      <c r="AR33" s="556"/>
      <c r="AS33" s="523"/>
      <c r="AT33" s="556"/>
      <c r="AU33" s="523"/>
      <c r="AV33" s="556"/>
      <c r="AW33" s="523"/>
      <c r="AX33" s="556"/>
      <c r="AY33" s="523"/>
      <c r="AZ33" s="556"/>
      <c r="BA33" s="523"/>
      <c r="BB33" s="556"/>
      <c r="BC33" s="523"/>
      <c r="BD33" s="556"/>
      <c r="BE33" s="523"/>
      <c r="BF33" s="556"/>
      <c r="BG33" s="523"/>
      <c r="BH33" s="556"/>
      <c r="BI33" s="523"/>
      <c r="BJ33" s="140"/>
      <c r="BK33" s="791"/>
    </row>
    <row r="34" spans="1:63" ht="25.15" customHeight="1">
      <c r="A34" s="240">
        <v>30</v>
      </c>
      <c r="B34" s="521">
        <f>IF(DAY(EOMONTH(DATE(VALUE(RIGHT(MMYYYY,4)),VALUE(LEFT(MMYYYY,2)),1),0))&gt;=A34,C34+E34+G34+I34+K34+M34+O34+Q34+S34+U34+W34+Y34+AA34+AC34+AE34+AG34+AI34+AK34+AM34+AO34+AQ34+AS34+AU34+AW34+AY34+BA34+BC34+BE34+BG34+BI34,"")</f>
        <v>0</v>
      </c>
      <c r="C34" s="522"/>
      <c r="D34" s="556"/>
      <c r="E34" s="523"/>
      <c r="F34" s="556"/>
      <c r="G34" s="523"/>
      <c r="H34" s="556"/>
      <c r="I34" s="523"/>
      <c r="J34" s="556"/>
      <c r="K34" s="523"/>
      <c r="L34" s="556"/>
      <c r="M34" s="523"/>
      <c r="N34" s="556"/>
      <c r="O34" s="523"/>
      <c r="P34" s="556"/>
      <c r="Q34" s="523"/>
      <c r="R34" s="556"/>
      <c r="S34" s="523"/>
      <c r="T34" s="556"/>
      <c r="U34" s="523"/>
      <c r="V34" s="556"/>
      <c r="W34" s="523"/>
      <c r="X34" s="556"/>
      <c r="Y34" s="523"/>
      <c r="Z34" s="556"/>
      <c r="AA34" s="523"/>
      <c r="AB34" s="556"/>
      <c r="AC34" s="523"/>
      <c r="AD34" s="556"/>
      <c r="AE34" s="523"/>
      <c r="AF34" s="556"/>
      <c r="AG34" s="522"/>
      <c r="AH34" s="556"/>
      <c r="AI34" s="523"/>
      <c r="AJ34" s="556"/>
      <c r="AK34" s="523"/>
      <c r="AL34" s="556"/>
      <c r="AM34" s="523"/>
      <c r="AN34" s="556"/>
      <c r="AO34" s="523"/>
      <c r="AP34" s="556"/>
      <c r="AQ34" s="523"/>
      <c r="AR34" s="556"/>
      <c r="AS34" s="523"/>
      <c r="AT34" s="556"/>
      <c r="AU34" s="523"/>
      <c r="AV34" s="556"/>
      <c r="AW34" s="523"/>
      <c r="AX34" s="556"/>
      <c r="AY34" s="523"/>
      <c r="AZ34" s="556"/>
      <c r="BA34" s="523"/>
      <c r="BB34" s="556"/>
      <c r="BC34" s="523"/>
      <c r="BD34" s="556"/>
      <c r="BE34" s="523"/>
      <c r="BF34" s="556"/>
      <c r="BG34" s="523"/>
      <c r="BH34" s="556"/>
      <c r="BI34" s="523"/>
      <c r="BJ34" s="140"/>
      <c r="BK34" s="791"/>
    </row>
    <row r="35" spans="1:63" ht="25.15" customHeight="1" thickBot="1">
      <c r="A35" s="241">
        <v>31</v>
      </c>
      <c r="B35" s="525">
        <f>IF(DAY(EOMONTH(DATE(VALUE(RIGHT(MMYYYY,4)),VALUE(LEFT(MMYYYY,2)),1),0))&gt;=A35,C35+E35+G35+I35+K35+M35+O35+Q35+S35+U35+W35+Y35+AA35+AC35+AE35+AG35+AI35+AK35+AM35+AO35+AQ35+AS35+AU35+AW35+AY35+BA35+BC35+BE35+BG35+BI35,"")</f>
        <v>0</v>
      </c>
      <c r="C35" s="526"/>
      <c r="D35" s="558"/>
      <c r="E35" s="527"/>
      <c r="F35" s="558"/>
      <c r="G35" s="638"/>
      <c r="H35" s="558"/>
      <c r="I35" s="527"/>
      <c r="J35" s="558"/>
      <c r="K35" s="527"/>
      <c r="L35" s="558"/>
      <c r="M35" s="527"/>
      <c r="N35" s="558"/>
      <c r="O35" s="527"/>
      <c r="P35" s="558"/>
      <c r="Q35" s="527"/>
      <c r="R35" s="558"/>
      <c r="S35" s="527"/>
      <c r="T35" s="558"/>
      <c r="U35" s="527"/>
      <c r="V35" s="558"/>
      <c r="W35" s="527"/>
      <c r="X35" s="558"/>
      <c r="Y35" s="527"/>
      <c r="Z35" s="558"/>
      <c r="AA35" s="527"/>
      <c r="AB35" s="558"/>
      <c r="AC35" s="527"/>
      <c r="AD35" s="558"/>
      <c r="AE35" s="527"/>
      <c r="AF35" s="558"/>
      <c r="AG35" s="526"/>
      <c r="AH35" s="558"/>
      <c r="AI35" s="527"/>
      <c r="AJ35" s="558"/>
      <c r="AK35" s="638"/>
      <c r="AL35" s="558"/>
      <c r="AM35" s="638"/>
      <c r="AN35" s="558"/>
      <c r="AO35" s="527"/>
      <c r="AP35" s="558"/>
      <c r="AQ35" s="527"/>
      <c r="AR35" s="558"/>
      <c r="AS35" s="527"/>
      <c r="AT35" s="558"/>
      <c r="AU35" s="527"/>
      <c r="AV35" s="558"/>
      <c r="AW35" s="527"/>
      <c r="AX35" s="558"/>
      <c r="AY35" s="527"/>
      <c r="AZ35" s="558"/>
      <c r="BA35" s="527"/>
      <c r="BB35" s="558"/>
      <c r="BC35" s="527"/>
      <c r="BD35" s="558"/>
      <c r="BE35" s="527"/>
      <c r="BF35" s="558"/>
      <c r="BG35" s="527"/>
      <c r="BH35" s="558"/>
      <c r="BI35" s="527"/>
      <c r="BJ35" s="141"/>
      <c r="BK35" s="791"/>
    </row>
    <row r="36" spans="1:63" ht="25.15" customHeight="1">
      <c r="A36" s="468" t="s">
        <v>80</v>
      </c>
      <c r="B36" s="469">
        <f>SUM(B5:B35)</f>
        <v>0</v>
      </c>
      <c r="C36" s="470" t="str">
        <f>IF(SUM(C5:C35)=0, " ", SUM(C5:C35))</f>
        <v xml:space="preserve"> </v>
      </c>
      <c r="D36" s="559" t="str">
        <f t="shared" ref="D36:L36" si="1">IF(SUM(D5:D35)=0, " ", SUM(D5:D35))</f>
        <v xml:space="preserve"> </v>
      </c>
      <c r="E36" s="471" t="str">
        <f t="shared" si="1"/>
        <v xml:space="preserve"> </v>
      </c>
      <c r="F36" s="559" t="str">
        <f t="shared" si="1"/>
        <v xml:space="preserve"> </v>
      </c>
      <c r="G36" s="471" t="str">
        <f t="shared" si="1"/>
        <v xml:space="preserve"> </v>
      </c>
      <c r="H36" s="559" t="str">
        <f t="shared" si="1"/>
        <v xml:space="preserve"> </v>
      </c>
      <c r="I36" s="471" t="str">
        <f>IF(SUM(I5:I35)=0, " ", SUM(I5:I35))</f>
        <v xml:space="preserve"> </v>
      </c>
      <c r="J36" s="559" t="str">
        <f t="shared" si="1"/>
        <v xml:space="preserve"> </v>
      </c>
      <c r="K36" s="471" t="str">
        <f t="shared" si="1"/>
        <v xml:space="preserve"> </v>
      </c>
      <c r="L36" s="559" t="str">
        <f t="shared" si="1"/>
        <v xml:space="preserve"> </v>
      </c>
      <c r="M36" s="471" t="str">
        <f>IF(SUM(M5:M35)=0, " ", SUM(M5:M35))</f>
        <v xml:space="preserve"> </v>
      </c>
      <c r="N36" s="559" t="str">
        <f t="shared" ref="N36:V36" si="2">IF(SUM(N5:N35)=0, " ", SUM(N5:N35))</f>
        <v xml:space="preserve"> </v>
      </c>
      <c r="O36" s="471" t="str">
        <f t="shared" si="2"/>
        <v xml:space="preserve"> </v>
      </c>
      <c r="P36" s="559" t="str">
        <f t="shared" si="2"/>
        <v xml:space="preserve"> </v>
      </c>
      <c r="Q36" s="471" t="str">
        <f t="shared" si="2"/>
        <v xml:space="preserve"> </v>
      </c>
      <c r="R36" s="559" t="str">
        <f t="shared" si="2"/>
        <v xml:space="preserve"> </v>
      </c>
      <c r="S36" s="471" t="str">
        <f t="shared" si="2"/>
        <v xml:space="preserve"> </v>
      </c>
      <c r="T36" s="559" t="str">
        <f t="shared" si="2"/>
        <v xml:space="preserve"> </v>
      </c>
      <c r="U36" s="471" t="str">
        <f t="shared" si="2"/>
        <v xml:space="preserve"> </v>
      </c>
      <c r="V36" s="559" t="str">
        <f t="shared" si="2"/>
        <v xml:space="preserve"> </v>
      </c>
      <c r="W36" s="471" t="str">
        <f>IF(SUM(W5:W35)=0, " ", SUM(W5:W35))</f>
        <v xml:space="preserve"> </v>
      </c>
      <c r="X36" s="559" t="str">
        <f t="shared" ref="X36:AF36" si="3">IF(SUM(X5:X35)=0, " ", SUM(X5:X35))</f>
        <v xml:space="preserve"> </v>
      </c>
      <c r="Y36" s="471" t="str">
        <f t="shared" si="3"/>
        <v xml:space="preserve"> </v>
      </c>
      <c r="Z36" s="559" t="str">
        <f t="shared" si="3"/>
        <v xml:space="preserve"> </v>
      </c>
      <c r="AA36" s="471" t="str">
        <f t="shared" si="3"/>
        <v xml:space="preserve"> </v>
      </c>
      <c r="AB36" s="559" t="str">
        <f t="shared" si="3"/>
        <v xml:space="preserve"> </v>
      </c>
      <c r="AC36" s="471" t="str">
        <f t="shared" si="3"/>
        <v xml:space="preserve"> </v>
      </c>
      <c r="AD36" s="559" t="str">
        <f t="shared" si="3"/>
        <v xml:space="preserve"> </v>
      </c>
      <c r="AE36" s="471" t="str">
        <f t="shared" si="3"/>
        <v xml:space="preserve"> </v>
      </c>
      <c r="AF36" s="559" t="str">
        <f t="shared" si="3"/>
        <v xml:space="preserve"> </v>
      </c>
      <c r="AG36" s="470" t="str">
        <f t="shared" ref="AG36:AQ36" si="4">IF(SUM(AG5:AG35)=0, " ", SUM(AG5:AG35))</f>
        <v xml:space="preserve"> </v>
      </c>
      <c r="AH36" s="559" t="str">
        <f t="shared" si="4"/>
        <v xml:space="preserve"> </v>
      </c>
      <c r="AI36" s="471" t="str">
        <f t="shared" si="4"/>
        <v xml:space="preserve"> </v>
      </c>
      <c r="AJ36" s="559" t="str">
        <f t="shared" si="4"/>
        <v xml:space="preserve"> </v>
      </c>
      <c r="AK36" s="471" t="str">
        <f t="shared" si="4"/>
        <v xml:space="preserve"> </v>
      </c>
      <c r="AL36" s="559" t="str">
        <f t="shared" si="4"/>
        <v xml:space="preserve"> </v>
      </c>
      <c r="AM36" s="471" t="str">
        <f t="shared" si="4"/>
        <v xml:space="preserve"> </v>
      </c>
      <c r="AN36" s="559" t="str">
        <f t="shared" si="4"/>
        <v xml:space="preserve"> </v>
      </c>
      <c r="AO36" s="471" t="str">
        <f t="shared" si="4"/>
        <v xml:space="preserve"> </v>
      </c>
      <c r="AP36" s="559" t="str">
        <f t="shared" si="4"/>
        <v xml:space="preserve"> </v>
      </c>
      <c r="AQ36" s="471" t="str">
        <f t="shared" si="4"/>
        <v xml:space="preserve"> </v>
      </c>
      <c r="AR36" s="559" t="str">
        <f t="shared" ref="AR36:AZ36" si="5">IF(SUM(AR5:AR35)=0, " ", SUM(AR5:AR35))</f>
        <v xml:space="preserve"> </v>
      </c>
      <c r="AS36" s="471" t="str">
        <f t="shared" si="5"/>
        <v xml:space="preserve"> </v>
      </c>
      <c r="AT36" s="559" t="str">
        <f t="shared" si="5"/>
        <v xml:space="preserve"> </v>
      </c>
      <c r="AU36" s="471" t="str">
        <f t="shared" si="5"/>
        <v xml:space="preserve"> </v>
      </c>
      <c r="AV36" s="559" t="str">
        <f t="shared" si="5"/>
        <v xml:space="preserve"> </v>
      </c>
      <c r="AW36" s="471" t="str">
        <f t="shared" si="5"/>
        <v xml:space="preserve"> </v>
      </c>
      <c r="AX36" s="559" t="str">
        <f t="shared" si="5"/>
        <v xml:space="preserve"> </v>
      </c>
      <c r="AY36" s="471" t="str">
        <f t="shared" si="5"/>
        <v xml:space="preserve"> </v>
      </c>
      <c r="AZ36" s="559" t="str">
        <f t="shared" si="5"/>
        <v xml:space="preserve"> </v>
      </c>
      <c r="BA36" s="471" t="str">
        <f>IF(SUM(BA5:BA35)=0, " ", SUM(BA5:BA35))</f>
        <v xml:space="preserve"> </v>
      </c>
      <c r="BB36" s="559" t="str">
        <f t="shared" ref="BB36:BJ36" si="6">IF(SUM(BB5:BB35)=0, " ", SUM(BB5:BB35))</f>
        <v xml:space="preserve"> </v>
      </c>
      <c r="BC36" s="471" t="str">
        <f t="shared" si="6"/>
        <v xml:space="preserve"> </v>
      </c>
      <c r="BD36" s="559" t="str">
        <f t="shared" si="6"/>
        <v xml:space="preserve"> </v>
      </c>
      <c r="BE36" s="471" t="str">
        <f t="shared" si="6"/>
        <v xml:space="preserve"> </v>
      </c>
      <c r="BF36" s="559" t="str">
        <f t="shared" si="6"/>
        <v xml:space="preserve"> </v>
      </c>
      <c r="BG36" s="471" t="str">
        <f t="shared" si="6"/>
        <v xml:space="preserve"> </v>
      </c>
      <c r="BH36" s="559" t="str">
        <f t="shared" si="6"/>
        <v xml:space="preserve"> </v>
      </c>
      <c r="BI36" s="471" t="str">
        <f t="shared" si="6"/>
        <v xml:space="preserve"> </v>
      </c>
      <c r="BJ36" s="565" t="str">
        <f t="shared" si="6"/>
        <v xml:space="preserve"> </v>
      </c>
      <c r="BK36" s="791"/>
    </row>
    <row r="37" spans="1:63" ht="25.15" customHeight="1" thickBot="1">
      <c r="A37" s="472" t="s">
        <v>183</v>
      </c>
      <c r="B37" s="473">
        <f>IFERROR(AVERAGE(B5:B35), " ")</f>
        <v>0</v>
      </c>
      <c r="C37" s="473" t="str">
        <f>IFERROR(AVERAGE(C5:C35), " ")</f>
        <v xml:space="preserve"> </v>
      </c>
      <c r="D37" s="560" t="str">
        <f t="shared" ref="D37:L37" si="7">IFERROR(AVERAGE(D5:D35), " ")</f>
        <v xml:space="preserve"> </v>
      </c>
      <c r="E37" s="474" t="str">
        <f t="shared" si="7"/>
        <v xml:space="preserve"> </v>
      </c>
      <c r="F37" s="560" t="str">
        <f t="shared" si="7"/>
        <v xml:space="preserve"> </v>
      </c>
      <c r="G37" s="474" t="str">
        <f t="shared" si="7"/>
        <v xml:space="preserve"> </v>
      </c>
      <c r="H37" s="560" t="str">
        <f t="shared" si="7"/>
        <v xml:space="preserve"> </v>
      </c>
      <c r="I37" s="474" t="str">
        <f>IFERROR(AVERAGE(I5:I35), " ")</f>
        <v xml:space="preserve"> </v>
      </c>
      <c r="J37" s="560" t="str">
        <f t="shared" si="7"/>
        <v xml:space="preserve"> </v>
      </c>
      <c r="K37" s="474" t="str">
        <f t="shared" si="7"/>
        <v xml:space="preserve"> </v>
      </c>
      <c r="L37" s="560" t="str">
        <f t="shared" si="7"/>
        <v xml:space="preserve"> </v>
      </c>
      <c r="M37" s="474" t="str">
        <f>IFERROR(AVERAGE(M5:M35), " ")</f>
        <v xml:space="preserve"> </v>
      </c>
      <c r="N37" s="560" t="str">
        <f t="shared" ref="N37:V37" si="8">IFERROR(AVERAGE(N5:N35), " ")</f>
        <v xml:space="preserve"> </v>
      </c>
      <c r="O37" s="474" t="str">
        <f t="shared" si="8"/>
        <v xml:space="preserve"> </v>
      </c>
      <c r="P37" s="560" t="str">
        <f t="shared" si="8"/>
        <v xml:space="preserve"> </v>
      </c>
      <c r="Q37" s="474" t="str">
        <f t="shared" si="8"/>
        <v xml:space="preserve"> </v>
      </c>
      <c r="R37" s="560" t="str">
        <f t="shared" si="8"/>
        <v xml:space="preserve"> </v>
      </c>
      <c r="S37" s="474" t="str">
        <f t="shared" si="8"/>
        <v xml:space="preserve"> </v>
      </c>
      <c r="T37" s="560" t="str">
        <f t="shared" si="8"/>
        <v xml:space="preserve"> </v>
      </c>
      <c r="U37" s="474" t="str">
        <f t="shared" si="8"/>
        <v xml:space="preserve"> </v>
      </c>
      <c r="V37" s="560" t="str">
        <f t="shared" si="8"/>
        <v xml:space="preserve"> </v>
      </c>
      <c r="W37" s="474" t="str">
        <f>IFERROR(AVERAGE(W5:W35), " ")</f>
        <v xml:space="preserve"> </v>
      </c>
      <c r="X37" s="560" t="str">
        <f t="shared" ref="X37:AF37" si="9">IFERROR(AVERAGE(X5:X35), " ")</f>
        <v xml:space="preserve"> </v>
      </c>
      <c r="Y37" s="474" t="str">
        <f t="shared" si="9"/>
        <v xml:space="preserve"> </v>
      </c>
      <c r="Z37" s="560" t="str">
        <f t="shared" si="9"/>
        <v xml:space="preserve"> </v>
      </c>
      <c r="AA37" s="474" t="str">
        <f t="shared" si="9"/>
        <v xml:space="preserve"> </v>
      </c>
      <c r="AB37" s="560" t="str">
        <f t="shared" si="9"/>
        <v xml:space="preserve"> </v>
      </c>
      <c r="AC37" s="474" t="str">
        <f t="shared" si="9"/>
        <v xml:space="preserve"> </v>
      </c>
      <c r="AD37" s="560" t="str">
        <f t="shared" si="9"/>
        <v xml:space="preserve"> </v>
      </c>
      <c r="AE37" s="474" t="str">
        <f t="shared" si="9"/>
        <v xml:space="preserve"> </v>
      </c>
      <c r="AF37" s="560" t="str">
        <f t="shared" si="9"/>
        <v xml:space="preserve"> </v>
      </c>
      <c r="AG37" s="473" t="str">
        <f t="shared" ref="AG37:AQ37" si="10">IFERROR(AVERAGE(AG5:AG35), " ")</f>
        <v xml:space="preserve"> </v>
      </c>
      <c r="AH37" s="560" t="str">
        <f t="shared" si="10"/>
        <v xml:space="preserve"> </v>
      </c>
      <c r="AI37" s="474" t="str">
        <f t="shared" si="10"/>
        <v xml:space="preserve"> </v>
      </c>
      <c r="AJ37" s="560" t="str">
        <f t="shared" si="10"/>
        <v xml:space="preserve"> </v>
      </c>
      <c r="AK37" s="474" t="str">
        <f t="shared" si="10"/>
        <v xml:space="preserve"> </v>
      </c>
      <c r="AL37" s="560" t="str">
        <f t="shared" si="10"/>
        <v xml:space="preserve"> </v>
      </c>
      <c r="AM37" s="474" t="str">
        <f t="shared" si="10"/>
        <v xml:space="preserve"> </v>
      </c>
      <c r="AN37" s="560" t="str">
        <f t="shared" si="10"/>
        <v xml:space="preserve"> </v>
      </c>
      <c r="AO37" s="474" t="str">
        <f t="shared" si="10"/>
        <v xml:space="preserve"> </v>
      </c>
      <c r="AP37" s="560" t="str">
        <f t="shared" si="10"/>
        <v xml:space="preserve"> </v>
      </c>
      <c r="AQ37" s="474" t="str">
        <f t="shared" si="10"/>
        <v xml:space="preserve"> </v>
      </c>
      <c r="AR37" s="560" t="str">
        <f t="shared" ref="AR37:AZ37" si="11">IFERROR(AVERAGE(AR5:AR35), " ")</f>
        <v xml:space="preserve"> </v>
      </c>
      <c r="AS37" s="474" t="str">
        <f t="shared" si="11"/>
        <v xml:space="preserve"> </v>
      </c>
      <c r="AT37" s="560" t="str">
        <f t="shared" si="11"/>
        <v xml:space="preserve"> </v>
      </c>
      <c r="AU37" s="474" t="str">
        <f t="shared" si="11"/>
        <v xml:space="preserve"> </v>
      </c>
      <c r="AV37" s="560" t="str">
        <f t="shared" si="11"/>
        <v xml:space="preserve"> </v>
      </c>
      <c r="AW37" s="474" t="str">
        <f t="shared" si="11"/>
        <v xml:space="preserve"> </v>
      </c>
      <c r="AX37" s="560" t="str">
        <f t="shared" si="11"/>
        <v xml:space="preserve"> </v>
      </c>
      <c r="AY37" s="474" t="str">
        <f t="shared" si="11"/>
        <v xml:space="preserve"> </v>
      </c>
      <c r="AZ37" s="560" t="str">
        <f t="shared" si="11"/>
        <v xml:space="preserve"> </v>
      </c>
      <c r="BA37" s="474" t="str">
        <f>IFERROR(AVERAGE(BA5:BA35), " ")</f>
        <v xml:space="preserve"> </v>
      </c>
      <c r="BB37" s="560" t="str">
        <f t="shared" ref="BB37:BJ37" si="12">IFERROR(AVERAGE(BB5:BB35), " ")</f>
        <v xml:space="preserve"> </v>
      </c>
      <c r="BC37" s="474" t="str">
        <f t="shared" si="12"/>
        <v xml:space="preserve"> </v>
      </c>
      <c r="BD37" s="560" t="str">
        <f t="shared" si="12"/>
        <v xml:space="preserve"> </v>
      </c>
      <c r="BE37" s="474" t="str">
        <f t="shared" si="12"/>
        <v xml:space="preserve"> </v>
      </c>
      <c r="BF37" s="560" t="str">
        <f t="shared" si="12"/>
        <v xml:space="preserve"> </v>
      </c>
      <c r="BG37" s="474" t="str">
        <f t="shared" si="12"/>
        <v xml:space="preserve"> </v>
      </c>
      <c r="BH37" s="560" t="str">
        <f t="shared" si="12"/>
        <v xml:space="preserve"> </v>
      </c>
      <c r="BI37" s="474" t="str">
        <f t="shared" si="12"/>
        <v xml:space="preserve"> </v>
      </c>
      <c r="BJ37" s="566" t="str">
        <f t="shared" si="12"/>
        <v xml:space="preserve"> </v>
      </c>
      <c r="BK37" s="791"/>
    </row>
    <row r="38" spans="1:63" ht="16.5" customHeight="1">
      <c r="A38" s="886">
        <f>PWSID</f>
        <v>0</v>
      </c>
      <c r="B38" s="867"/>
      <c r="C38" s="867"/>
      <c r="D38" s="887"/>
      <c r="E38" s="888"/>
      <c r="F38" s="887"/>
      <c r="G38" s="867"/>
      <c r="H38" s="887"/>
      <c r="I38" s="867"/>
      <c r="J38" s="887"/>
      <c r="K38" s="886">
        <f>PWSID</f>
        <v>0</v>
      </c>
      <c r="L38" s="887"/>
      <c r="M38" s="867"/>
      <c r="N38" s="887"/>
      <c r="O38" s="867"/>
      <c r="P38" s="887"/>
      <c r="Q38" s="867"/>
      <c r="R38" s="887"/>
      <c r="S38" s="886">
        <f>PWSID</f>
        <v>0</v>
      </c>
      <c r="T38" s="887"/>
      <c r="U38" s="867"/>
      <c r="V38" s="887"/>
      <c r="W38" s="867"/>
      <c r="X38" s="887"/>
      <c r="Y38" s="867"/>
      <c r="Z38" s="887"/>
      <c r="AA38" s="886">
        <f>PWSID</f>
        <v>0</v>
      </c>
      <c r="AB38" s="887"/>
      <c r="AC38" s="867"/>
      <c r="AD38" s="887"/>
      <c r="AE38" s="867"/>
      <c r="AF38" s="887"/>
      <c r="AG38" s="867"/>
      <c r="AH38" s="887"/>
      <c r="AI38" s="886">
        <f>PWSID</f>
        <v>0</v>
      </c>
      <c r="AJ38" s="887"/>
      <c r="AK38" s="867"/>
      <c r="AL38" s="887"/>
      <c r="AM38" s="867"/>
      <c r="AN38" s="887"/>
      <c r="AO38" s="867"/>
      <c r="AP38" s="887"/>
      <c r="AQ38" s="886">
        <f>PWSID</f>
        <v>0</v>
      </c>
      <c r="AR38" s="887"/>
      <c r="AS38" s="867"/>
      <c r="AT38" s="887"/>
      <c r="AU38" s="867"/>
      <c r="AV38" s="887"/>
      <c r="AW38" s="867"/>
      <c r="AX38" s="887"/>
      <c r="AY38" s="886">
        <f>PWSID</f>
        <v>0</v>
      </c>
      <c r="AZ38" s="887"/>
      <c r="BA38" s="867"/>
      <c r="BB38" s="887"/>
      <c r="BC38" s="867"/>
      <c r="BD38" s="887"/>
      <c r="BE38" s="867"/>
      <c r="BF38" s="887"/>
      <c r="BG38" s="886">
        <f>PWSID</f>
        <v>0</v>
      </c>
      <c r="BH38" s="887"/>
      <c r="BI38" s="867"/>
      <c r="BJ38" s="887"/>
      <c r="BK38" s="791"/>
    </row>
    <row r="39" spans="1:63">
      <c r="A39" s="889" t="str">
        <f>MMYYYY</f>
        <v>05/2025</v>
      </c>
      <c r="B39" s="791"/>
      <c r="C39" s="791"/>
      <c r="D39" s="890"/>
      <c r="E39" s="791"/>
      <c r="F39" s="890"/>
      <c r="G39" s="791"/>
      <c r="H39" s="890"/>
      <c r="I39" s="791"/>
      <c r="J39" s="890"/>
      <c r="K39" s="889" t="str">
        <f>MMYYYY</f>
        <v>05/2025</v>
      </c>
      <c r="L39" s="890"/>
      <c r="M39" s="791"/>
      <c r="N39" s="890"/>
      <c r="O39" s="791"/>
      <c r="P39" s="890"/>
      <c r="Q39" s="791"/>
      <c r="R39" s="890"/>
      <c r="S39" s="889" t="str">
        <f>MMYYYY</f>
        <v>05/2025</v>
      </c>
      <c r="T39" s="890"/>
      <c r="U39" s="791"/>
      <c r="V39" s="890"/>
      <c r="W39" s="791"/>
      <c r="X39" s="890"/>
      <c r="Y39" s="791"/>
      <c r="Z39" s="890"/>
      <c r="AA39" s="889" t="str">
        <f>MMYYYY</f>
        <v>05/2025</v>
      </c>
      <c r="AB39" s="890"/>
      <c r="AC39" s="791"/>
      <c r="AD39" s="890"/>
      <c r="AE39" s="791"/>
      <c r="AF39" s="890"/>
      <c r="AG39" s="791"/>
      <c r="AH39" s="890"/>
      <c r="AI39" s="889" t="str">
        <f>MMYYYY</f>
        <v>05/2025</v>
      </c>
      <c r="AJ39" s="890"/>
      <c r="AK39" s="791"/>
      <c r="AL39" s="890"/>
      <c r="AM39" s="791"/>
      <c r="AN39" s="890"/>
      <c r="AO39" s="791"/>
      <c r="AP39" s="890"/>
      <c r="AQ39" s="889" t="str">
        <f>MMYYYY</f>
        <v>05/2025</v>
      </c>
      <c r="AR39" s="890"/>
      <c r="AS39" s="791"/>
      <c r="AT39" s="890"/>
      <c r="AU39" s="791"/>
      <c r="AV39" s="890"/>
      <c r="AW39" s="791"/>
      <c r="AX39" s="890"/>
      <c r="AY39" s="889" t="str">
        <f>MMYYYY</f>
        <v>05/2025</v>
      </c>
      <c r="AZ39" s="890"/>
      <c r="BA39" s="791"/>
      <c r="BB39" s="890"/>
      <c r="BC39" s="791"/>
      <c r="BD39" s="890"/>
      <c r="BE39" s="791"/>
      <c r="BF39" s="890"/>
      <c r="BG39" s="889" t="str">
        <f>MMYYYY</f>
        <v>05/2025</v>
      </c>
      <c r="BH39" s="890"/>
      <c r="BI39" s="791"/>
      <c r="BJ39" s="890"/>
      <c r="BK39" s="791"/>
    </row>
    <row r="40" spans="1:63" ht="19.149999999999999" customHeight="1">
      <c r="B40" s="139" t="s">
        <v>126</v>
      </c>
    </row>
    <row r="41" spans="1:63">
      <c r="B41" s="219" t="s">
        <v>208</v>
      </c>
      <c r="C41" s="116" t="s">
        <v>255</v>
      </c>
    </row>
    <row r="42" spans="1:63">
      <c r="B42" s="219" t="s">
        <v>256</v>
      </c>
      <c r="C42" s="116" t="s">
        <v>257</v>
      </c>
      <c r="M42" s="168" t="str">
        <f>MMYYYY</f>
        <v>05/2025</v>
      </c>
      <c r="N42" s="168">
        <f>PWSID</f>
        <v>0</v>
      </c>
      <c r="AQ42" s="168" t="str">
        <f>MMYYYY</f>
        <v>05/2025</v>
      </c>
      <c r="AR42" s="561">
        <f>PWSID</f>
        <v>0</v>
      </c>
    </row>
  </sheetData>
  <sheetProtection algorithmName="SHA-512" hashValue="mSl9k+LpkCboikWpMrFeDa0l3UrzW6K/DnTG9N+3WHiH024x4i6/x6SxjcKpsXQdRZBF7tF9NScmAVK2fgmbNQ==" saltValue="PhoYY82tojHVqbxTbGwQfw==" spinCount="100000" sheet="1" selectLockedCells="1"/>
  <mergeCells count="1">
    <mergeCell ref="B2:B4"/>
  </mergeCells>
  <phoneticPr fontId="0" type="noConversion"/>
  <conditionalFormatting sqref="D2:D3">
    <cfRule type="cellIs" dxfId="71" priority="31" operator="equal">
      <formula>"type-in"</formula>
    </cfRule>
  </conditionalFormatting>
  <conditionalFormatting sqref="F2:F3">
    <cfRule type="cellIs" dxfId="70" priority="30" operator="equal">
      <formula>"type-in"</formula>
    </cfRule>
  </conditionalFormatting>
  <conditionalFormatting sqref="H2:H3">
    <cfRule type="cellIs" dxfId="69" priority="29" operator="equal">
      <formula>"type-in"</formula>
    </cfRule>
  </conditionalFormatting>
  <conditionalFormatting sqref="J2:J3">
    <cfRule type="cellIs" dxfId="68" priority="28" operator="equal">
      <formula>"type-in"</formula>
    </cfRule>
  </conditionalFormatting>
  <conditionalFormatting sqref="L2:L3">
    <cfRule type="cellIs" dxfId="67" priority="27" operator="equal">
      <formula>"type-in"</formula>
    </cfRule>
  </conditionalFormatting>
  <conditionalFormatting sqref="N2:N3">
    <cfRule type="cellIs" dxfId="66" priority="26" operator="equal">
      <formula>"type-in"</formula>
    </cfRule>
  </conditionalFormatting>
  <conditionalFormatting sqref="P2:P3">
    <cfRule type="cellIs" dxfId="65" priority="25" operator="equal">
      <formula>"type-in"</formula>
    </cfRule>
  </conditionalFormatting>
  <conditionalFormatting sqref="R2:R3">
    <cfRule type="cellIs" dxfId="64" priority="24" operator="equal">
      <formula>"type-in"</formula>
    </cfRule>
  </conditionalFormatting>
  <conditionalFormatting sqref="T2:T3">
    <cfRule type="cellIs" dxfId="63" priority="23" operator="equal">
      <formula>"type-in"</formula>
    </cfRule>
  </conditionalFormatting>
  <conditionalFormatting sqref="V2:V3">
    <cfRule type="cellIs" dxfId="62" priority="22" operator="equal">
      <formula>"type-in"</formula>
    </cfRule>
  </conditionalFormatting>
  <conditionalFormatting sqref="X2:X3">
    <cfRule type="cellIs" dxfId="61" priority="21" operator="equal">
      <formula>"type-in"</formula>
    </cfRule>
  </conditionalFormatting>
  <conditionalFormatting sqref="Z2:Z3">
    <cfRule type="cellIs" dxfId="60" priority="20" operator="equal">
      <formula>"type-in"</formula>
    </cfRule>
  </conditionalFormatting>
  <conditionalFormatting sqref="AB2:AB3">
    <cfRule type="cellIs" dxfId="59" priority="19" operator="equal">
      <formula>"type-in"</formula>
    </cfRule>
  </conditionalFormatting>
  <conditionalFormatting sqref="AD2:AD3">
    <cfRule type="cellIs" dxfId="58" priority="18" operator="equal">
      <formula>"type-in"</formula>
    </cfRule>
  </conditionalFormatting>
  <conditionalFormatting sqref="AF2:AF3">
    <cfRule type="cellIs" dxfId="57" priority="1" operator="equal">
      <formula>"type-in"</formula>
    </cfRule>
  </conditionalFormatting>
  <conditionalFormatting sqref="AH2:AH3">
    <cfRule type="cellIs" dxfId="56" priority="16" operator="equal">
      <formula>"type-in"</formula>
    </cfRule>
  </conditionalFormatting>
  <conditionalFormatting sqref="AJ2:AJ3">
    <cfRule type="cellIs" dxfId="55" priority="15" operator="equal">
      <formula>"type-in"</formula>
    </cfRule>
  </conditionalFormatting>
  <conditionalFormatting sqref="AL2:AL3">
    <cfRule type="cellIs" dxfId="54" priority="14" operator="equal">
      <formula>"type-in"</formula>
    </cfRule>
  </conditionalFormatting>
  <conditionalFormatting sqref="AN2:AN3">
    <cfRule type="cellIs" dxfId="53" priority="13" operator="equal">
      <formula>"type-in"</formula>
    </cfRule>
  </conditionalFormatting>
  <conditionalFormatting sqref="AP2:AP3">
    <cfRule type="cellIs" dxfId="52" priority="12" operator="equal">
      <formula>"type-in"</formula>
    </cfRule>
  </conditionalFormatting>
  <conditionalFormatting sqref="AR2:AR3">
    <cfRule type="cellIs" dxfId="51" priority="11" operator="equal">
      <formula>"type-in"</formula>
    </cfRule>
  </conditionalFormatting>
  <conditionalFormatting sqref="AT2:AT3">
    <cfRule type="cellIs" dxfId="50" priority="10" operator="equal">
      <formula>"type-in"</formula>
    </cfRule>
  </conditionalFormatting>
  <conditionalFormatting sqref="AV2:AV3">
    <cfRule type="cellIs" dxfId="49" priority="9" operator="equal">
      <formula>"type-in"</formula>
    </cfRule>
  </conditionalFormatting>
  <conditionalFormatting sqref="AX2:AX3">
    <cfRule type="cellIs" dxfId="48" priority="8" operator="equal">
      <formula>"type-in"</formula>
    </cfRule>
  </conditionalFormatting>
  <conditionalFormatting sqref="AZ2:AZ3">
    <cfRule type="cellIs" dxfId="47" priority="7" operator="equal">
      <formula>"type-in"</formula>
    </cfRule>
  </conditionalFormatting>
  <conditionalFormatting sqref="BB2:BB3">
    <cfRule type="cellIs" dxfId="46" priority="6" operator="equal">
      <formula>"type-in"</formula>
    </cfRule>
  </conditionalFormatting>
  <conditionalFormatting sqref="BD2:BD3">
    <cfRule type="cellIs" dxfId="45" priority="5" operator="equal">
      <formula>"type-in"</formula>
    </cfRule>
  </conditionalFormatting>
  <conditionalFormatting sqref="BF2:BF3">
    <cfRule type="cellIs" dxfId="44" priority="4" operator="equal">
      <formula>"type-in"</formula>
    </cfRule>
  </conditionalFormatting>
  <conditionalFormatting sqref="BH2:BH3">
    <cfRule type="cellIs" dxfId="43" priority="3" operator="equal">
      <formula>"type-in"</formula>
    </cfRule>
  </conditionalFormatting>
  <conditionalFormatting sqref="BJ2:BJ3">
    <cfRule type="cellIs" dxfId="42" priority="2" operator="equal">
      <formula>"type-in"</formula>
    </cfRule>
  </conditionalFormatting>
  <hyperlinks>
    <hyperlink ref="A1" location="Bookmarks!A1" display="Return to Bookmarks" xr:uid="{F660A6C8-1125-4DA7-8D7B-87983CC77E11}"/>
  </hyperlinks>
  <printOptions verticalCentered="1"/>
  <pageMargins left="1.25" right="0.48" top="0.75" bottom="0.5" header="0.5" footer="0"/>
  <pageSetup scale="70" fitToWidth="0" fitToHeight="0" orientation="portrait" r:id="rId1"/>
  <headerFooter scaleWithDoc="0" alignWithMargins="0">
    <oddHeader>&amp;LMonthly Operating Report
Filter Operation</oddHeader>
  </headerFooter>
  <colBreaks count="1" manualBreakCount="1">
    <brk id="42"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FF00"/>
    <pageSetUpPr fitToPage="1"/>
  </sheetPr>
  <dimension ref="A1:CX57"/>
  <sheetViews>
    <sheetView showGridLines="0" zoomScale="90" zoomScaleNormal="90" zoomScaleSheetLayoutView="110" zoomScalePageLayoutView="60" workbookViewId="0">
      <pane ySplit="5" topLeftCell="A6" activePane="bottomLeft" state="frozen"/>
      <selection activeCell="E34" sqref="E34"/>
      <selection pane="bottomLeft" activeCell="B6" sqref="B6"/>
    </sheetView>
  </sheetViews>
  <sheetFormatPr defaultColWidth="6.5703125" defaultRowHeight="12.75"/>
  <cols>
    <col min="1" max="2" width="9.7109375" customWidth="1"/>
    <col min="3" max="3" width="10.28515625" customWidth="1"/>
    <col min="4" max="4" width="6.5703125" customWidth="1"/>
    <col min="5" max="5" width="8" customWidth="1"/>
    <col min="6" max="7" width="7.7109375" customWidth="1"/>
    <col min="8" max="8" width="8" customWidth="1"/>
    <col min="9" max="10" width="7.7109375" customWidth="1"/>
    <col min="11" max="11" width="8" customWidth="1"/>
    <col min="12" max="13" width="7.7109375" customWidth="1"/>
    <col min="14" max="14" width="8" customWidth="1"/>
    <col min="15" max="16" width="7.7109375" customWidth="1"/>
    <col min="17" max="17" width="8.7109375" style="17" bestFit="1" customWidth="1"/>
    <col min="18" max="18" width="8.7109375" style="17" customWidth="1"/>
    <col min="19" max="19" width="2.140625" customWidth="1"/>
    <col min="20" max="21" width="8.7109375" customWidth="1"/>
  </cols>
  <sheetData>
    <row r="1" spans="1:102" ht="25.5" customHeight="1">
      <c r="A1" s="1083" t="s">
        <v>730</v>
      </c>
      <c r="B1" s="1330" t="s">
        <v>583</v>
      </c>
      <c r="C1" s="1330"/>
      <c r="D1" s="1330"/>
      <c r="E1" s="1330"/>
      <c r="F1" s="1330"/>
      <c r="G1" s="1330"/>
      <c r="H1" s="1330"/>
      <c r="I1" s="1330"/>
      <c r="J1" s="1330"/>
      <c r="K1" s="1330"/>
      <c r="L1" s="1330"/>
      <c r="M1" s="1330"/>
      <c r="N1" s="332">
        <f>PWSID</f>
        <v>0</v>
      </c>
      <c r="O1" s="333"/>
      <c r="P1" s="331" t="str">
        <f>MMYYYY</f>
        <v>05/2025</v>
      </c>
      <c r="Q1" s="284"/>
      <c r="R1" s="285"/>
      <c r="S1" s="907"/>
      <c r="T1" s="44"/>
      <c r="U1" s="44"/>
      <c r="V1" s="44"/>
      <c r="W1" s="44"/>
      <c r="X1" s="44"/>
      <c r="Y1" s="44"/>
      <c r="Z1" s="44"/>
      <c r="AA1" s="44"/>
      <c r="AB1" s="44"/>
      <c r="AC1" s="44"/>
      <c r="AD1" s="44"/>
      <c r="AE1" s="44"/>
      <c r="AF1" s="44"/>
      <c r="AG1" s="39"/>
      <c r="AH1" s="8"/>
      <c r="AI1" s="44"/>
      <c r="AJ1" s="44"/>
      <c r="AK1" s="44"/>
      <c r="AL1" s="44"/>
      <c r="AM1" s="44"/>
      <c r="AN1" s="44"/>
      <c r="AO1" s="44"/>
      <c r="AP1" s="44"/>
      <c r="AQ1" s="44"/>
      <c r="AR1" s="44"/>
      <c r="AS1" s="44"/>
      <c r="AT1" s="44"/>
      <c r="AU1" s="44"/>
      <c r="AV1" s="44"/>
      <c r="AW1" s="39"/>
      <c r="AX1" s="8"/>
      <c r="AY1" s="44"/>
      <c r="AZ1" s="44"/>
      <c r="BA1" s="44"/>
      <c r="BB1" s="44"/>
      <c r="BC1" s="44"/>
      <c r="BD1" s="44"/>
      <c r="BE1" s="44"/>
      <c r="BF1" s="44"/>
      <c r="BG1" s="44"/>
      <c r="BH1" s="44"/>
      <c r="BI1" s="44"/>
      <c r="BJ1" s="44"/>
      <c r="BK1" s="39"/>
      <c r="BL1" s="8"/>
      <c r="BM1" s="8"/>
      <c r="BN1" s="44"/>
      <c r="BO1" s="44"/>
      <c r="BP1" s="44"/>
      <c r="BQ1" s="44"/>
      <c r="BR1" s="44"/>
      <c r="BS1" s="44"/>
      <c r="BT1" s="44"/>
      <c r="BU1" s="44"/>
      <c r="BV1" s="44"/>
      <c r="BW1" s="39"/>
      <c r="BX1" s="44"/>
      <c r="BY1" s="44"/>
      <c r="BZ1" s="45"/>
      <c r="CA1" s="44"/>
      <c r="CB1" s="44"/>
      <c r="CC1" s="44"/>
      <c r="CD1" s="44"/>
      <c r="CE1" s="44"/>
      <c r="CF1" s="44"/>
      <c r="CG1" s="44"/>
      <c r="CH1" s="44"/>
      <c r="CI1" s="44"/>
      <c r="CJ1" s="41"/>
      <c r="CK1" s="41"/>
      <c r="CL1" s="41"/>
      <c r="CM1" s="1"/>
      <c r="CO1" s="41"/>
      <c r="CP1" s="41"/>
      <c r="CQ1" s="46"/>
      <c r="CR1" s="46"/>
      <c r="CS1" s="46"/>
      <c r="CT1" s="41"/>
    </row>
    <row r="2" spans="1:102" ht="22.5" customHeight="1">
      <c r="A2" s="892"/>
      <c r="B2" s="1229" t="s">
        <v>258</v>
      </c>
      <c r="C2" s="1230"/>
      <c r="D2" s="900"/>
      <c r="E2" s="1233" t="s">
        <v>259</v>
      </c>
      <c r="F2" s="1234"/>
      <c r="G2" s="1234"/>
      <c r="H2" s="1234"/>
      <c r="I2" s="1234"/>
      <c r="J2" s="1234"/>
      <c r="K2" s="1234"/>
      <c r="L2" s="1234"/>
      <c r="M2" s="1234"/>
      <c r="N2" s="1234"/>
      <c r="O2" s="1234"/>
      <c r="P2" s="1235"/>
      <c r="Q2" s="475"/>
      <c r="R2" s="475"/>
      <c r="S2" s="908"/>
      <c r="T2" s="47"/>
      <c r="U2" s="10"/>
      <c r="V2" s="47"/>
      <c r="W2" s="11"/>
      <c r="X2" s="47"/>
      <c r="Y2" s="9"/>
      <c r="Z2" s="47"/>
      <c r="AA2" s="10"/>
      <c r="AB2" s="47"/>
      <c r="AC2" s="11"/>
      <c r="AD2" s="48"/>
      <c r="AE2" s="9"/>
      <c r="AF2" s="47"/>
      <c r="AG2" s="49"/>
      <c r="AH2" s="49"/>
      <c r="AI2" s="49"/>
      <c r="AJ2" s="49"/>
      <c r="AK2" s="45"/>
      <c r="AL2" s="45"/>
      <c r="AM2" s="8"/>
      <c r="AN2" s="45"/>
      <c r="AO2" s="45"/>
      <c r="AP2" s="45"/>
      <c r="AQ2" s="45"/>
      <c r="AR2" s="45"/>
      <c r="AS2" s="8"/>
      <c r="AT2" s="45"/>
      <c r="AU2" s="8"/>
      <c r="AV2" s="45"/>
      <c r="AW2" s="49"/>
      <c r="AX2" s="45"/>
      <c r="AY2" s="49"/>
      <c r="AZ2" s="50"/>
      <c r="BA2" s="45"/>
      <c r="BB2" s="51"/>
      <c r="BC2" s="45"/>
      <c r="BD2" s="45"/>
      <c r="BE2" s="45"/>
      <c r="BF2" s="45"/>
      <c r="BG2" s="52"/>
      <c r="BH2" s="52"/>
      <c r="BI2" s="52"/>
      <c r="BJ2" s="52"/>
      <c r="BK2" s="49"/>
      <c r="BL2" s="12"/>
      <c r="BM2" s="12"/>
      <c r="BN2" s="53"/>
      <c r="BO2" s="12"/>
      <c r="BP2" s="13"/>
      <c r="BQ2" s="12"/>
      <c r="BR2" s="13"/>
      <c r="BS2" s="12"/>
      <c r="BT2" s="13"/>
      <c r="BU2" s="12"/>
      <c r="BV2" s="13"/>
      <c r="BW2" s="39"/>
      <c r="BX2" s="45"/>
      <c r="BY2" s="45"/>
      <c r="BZ2" s="45"/>
      <c r="CA2" s="44"/>
      <c r="CB2" s="45"/>
      <c r="CC2" s="45"/>
      <c r="CD2" s="45"/>
      <c r="CE2" s="45"/>
      <c r="CF2" s="45"/>
      <c r="CG2" s="45"/>
      <c r="CH2" s="45"/>
      <c r="CI2" s="45"/>
      <c r="CJ2" s="41"/>
      <c r="CK2" s="41"/>
      <c r="CL2" s="41"/>
      <c r="CM2" s="41"/>
      <c r="CN2" s="41"/>
      <c r="CO2" s="41"/>
      <c r="CP2" s="41"/>
      <c r="CQ2" s="41"/>
      <c r="CR2" s="41"/>
      <c r="CS2" s="41"/>
      <c r="CT2" s="41"/>
      <c r="CU2" s="41"/>
      <c r="CV2" s="41"/>
      <c r="CW2" s="41"/>
      <c r="CX2" s="41"/>
    </row>
    <row r="3" spans="1:102" ht="32.25" customHeight="1">
      <c r="A3" s="892"/>
      <c r="B3" s="1229"/>
      <c r="C3" s="1230"/>
      <c r="D3" s="900"/>
      <c r="E3" s="1331" t="s">
        <v>260</v>
      </c>
      <c r="F3" s="1332"/>
      <c r="G3" s="1332"/>
      <c r="H3" s="1332"/>
      <c r="I3" s="1332"/>
      <c r="J3" s="1332"/>
      <c r="K3" s="1332"/>
      <c r="L3" s="1332"/>
      <c r="M3" s="1332"/>
      <c r="N3" s="1332"/>
      <c r="O3" s="1332"/>
      <c r="P3" s="1333"/>
      <c r="Q3" s="1334" t="s">
        <v>261</v>
      </c>
      <c r="R3" s="1334" t="s">
        <v>262</v>
      </c>
      <c r="S3" s="909"/>
      <c r="T3" s="47"/>
      <c r="U3" s="47"/>
      <c r="V3" s="47"/>
      <c r="W3" s="56"/>
      <c r="X3" s="47"/>
      <c r="Y3" s="54"/>
      <c r="Z3" s="47"/>
      <c r="AA3" s="47"/>
      <c r="AB3" s="47"/>
      <c r="AC3" s="56"/>
      <c r="AD3" s="47"/>
      <c r="AE3" s="56"/>
      <c r="AF3" s="47"/>
      <c r="AG3" s="49"/>
      <c r="AH3" s="49"/>
      <c r="AI3" s="49"/>
      <c r="AJ3" s="49"/>
      <c r="AK3" s="49"/>
      <c r="AL3" s="49"/>
      <c r="AM3" s="49"/>
      <c r="AN3" s="49"/>
      <c r="AO3" s="45"/>
      <c r="AP3" s="45"/>
      <c r="AQ3" s="45"/>
      <c r="AR3" s="45"/>
      <c r="AS3" s="49"/>
      <c r="AT3" s="45"/>
      <c r="AU3" s="49"/>
      <c r="AV3" s="49"/>
      <c r="AW3" s="49"/>
      <c r="AX3" s="14"/>
      <c r="AY3" s="49"/>
      <c r="AZ3" s="45"/>
      <c r="BA3" s="45"/>
      <c r="BB3" s="49"/>
      <c r="BC3" s="49"/>
      <c r="BD3" s="49"/>
      <c r="BE3" s="49"/>
      <c r="BF3" s="49"/>
      <c r="BG3" s="52"/>
      <c r="BH3" s="52"/>
      <c r="BI3" s="49"/>
      <c r="BJ3" s="49"/>
      <c r="BK3" s="49"/>
      <c r="BL3" s="8"/>
      <c r="BM3" s="49"/>
      <c r="BN3" s="49"/>
      <c r="BO3" s="49"/>
      <c r="BP3" s="49"/>
      <c r="BQ3" s="49"/>
      <c r="BR3" s="49"/>
      <c r="BS3" s="49"/>
      <c r="BT3" s="49"/>
      <c r="BU3" s="49"/>
      <c r="BV3" s="49"/>
      <c r="BW3" s="39"/>
      <c r="BX3" s="45"/>
      <c r="BY3" s="45"/>
      <c r="BZ3" s="45"/>
      <c r="CA3" s="44"/>
      <c r="CB3" s="45"/>
      <c r="CC3" s="45"/>
      <c r="CD3" s="45"/>
      <c r="CE3" s="45"/>
      <c r="CF3" s="45"/>
      <c r="CG3" s="45"/>
      <c r="CH3" s="45"/>
      <c r="CI3" s="45"/>
      <c r="CJ3" s="1"/>
      <c r="CK3" s="41"/>
      <c r="CL3" s="55"/>
      <c r="CM3" s="41"/>
      <c r="CN3" s="41"/>
      <c r="CO3" s="42"/>
      <c r="CP3" s="1"/>
      <c r="CQ3" s="46"/>
      <c r="CR3" s="46"/>
      <c r="CS3" s="46"/>
      <c r="CU3" s="41"/>
    </row>
    <row r="4" spans="1:102" ht="18" customHeight="1">
      <c r="A4" s="892"/>
      <c r="B4" s="1231"/>
      <c r="C4" s="1232"/>
      <c r="D4" s="900"/>
      <c r="E4" s="1340" t="s">
        <v>263</v>
      </c>
      <c r="F4" s="1337"/>
      <c r="G4" s="1338"/>
      <c r="H4" s="1337" t="s">
        <v>264</v>
      </c>
      <c r="I4" s="1337"/>
      <c r="J4" s="1338"/>
      <c r="K4" s="1337" t="s">
        <v>265</v>
      </c>
      <c r="L4" s="1337"/>
      <c r="M4" s="1338"/>
      <c r="N4" s="1337" t="s">
        <v>266</v>
      </c>
      <c r="O4" s="1337"/>
      <c r="P4" s="1339"/>
      <c r="Q4" s="1335"/>
      <c r="R4" s="1335"/>
      <c r="S4" s="860"/>
      <c r="T4" s="15"/>
      <c r="U4" s="15"/>
      <c r="V4" s="15"/>
      <c r="W4" s="15"/>
      <c r="X4" s="15"/>
      <c r="Y4" s="15"/>
      <c r="Z4" s="15"/>
      <c r="AA4" s="15"/>
      <c r="AB4" s="15"/>
      <c r="AC4" s="15"/>
      <c r="AD4" s="15"/>
      <c r="AE4" s="15"/>
      <c r="AF4" s="15"/>
      <c r="AG4" s="12"/>
      <c r="AH4" s="14"/>
      <c r="AI4" s="14"/>
      <c r="AJ4" s="14"/>
      <c r="AK4" s="12"/>
      <c r="AL4" s="12"/>
      <c r="AM4" s="12"/>
      <c r="AN4" s="12"/>
      <c r="AO4" s="12"/>
      <c r="AP4" s="12"/>
      <c r="AQ4" s="12"/>
      <c r="AR4" s="12"/>
      <c r="AS4" s="12"/>
      <c r="AT4" s="45"/>
      <c r="AU4" s="12"/>
      <c r="AV4" s="12"/>
      <c r="AW4" s="12"/>
      <c r="AX4" s="49"/>
      <c r="AY4" s="14"/>
      <c r="AZ4" s="12"/>
      <c r="BA4" s="12"/>
      <c r="BB4" s="12"/>
      <c r="BC4" s="12"/>
      <c r="BD4" s="12"/>
      <c r="BE4" s="12"/>
      <c r="BF4" s="12"/>
      <c r="BG4" s="12"/>
      <c r="BH4" s="12"/>
      <c r="BI4" s="12"/>
      <c r="BJ4" s="12"/>
      <c r="BK4" s="12"/>
      <c r="BL4" s="45"/>
      <c r="BM4" s="12"/>
      <c r="BN4" s="12"/>
      <c r="BO4" s="12"/>
      <c r="BP4" s="12"/>
      <c r="BQ4" s="12"/>
      <c r="BR4" s="12"/>
      <c r="BS4" s="12"/>
      <c r="BT4" s="12"/>
      <c r="BU4" s="12"/>
      <c r="BV4" s="12"/>
      <c r="BW4" s="39"/>
      <c r="BX4" s="45"/>
      <c r="BY4" s="45"/>
      <c r="BZ4" s="45"/>
      <c r="CA4" s="44"/>
      <c r="CB4" s="51"/>
      <c r="CC4" s="49"/>
      <c r="CD4" s="51"/>
      <c r="CE4" s="49"/>
      <c r="CF4" s="51"/>
      <c r="CG4" s="49"/>
      <c r="CH4" s="51"/>
      <c r="CI4" s="49"/>
      <c r="CJ4" s="1"/>
      <c r="CK4" s="41"/>
      <c r="CL4" s="55"/>
      <c r="CM4" s="41"/>
      <c r="CN4" s="41"/>
      <c r="CO4" s="42"/>
      <c r="CP4" s="1"/>
      <c r="CQ4" s="46"/>
      <c r="CR4" s="46"/>
      <c r="CS4" s="46"/>
      <c r="CU4" s="41"/>
    </row>
    <row r="5" spans="1:102" ht="28.9" customHeight="1" thickBot="1">
      <c r="A5" s="893" t="s">
        <v>58</v>
      </c>
      <c r="B5" s="894" t="s">
        <v>77</v>
      </c>
      <c r="C5" s="894" t="s">
        <v>77</v>
      </c>
      <c r="D5" s="900"/>
      <c r="E5" s="895" t="s">
        <v>267</v>
      </c>
      <c r="F5" s="896" t="s">
        <v>80</v>
      </c>
      <c r="G5" s="897" t="s">
        <v>268</v>
      </c>
      <c r="H5" s="898" t="s">
        <v>269</v>
      </c>
      <c r="I5" s="896" t="s">
        <v>80</v>
      </c>
      <c r="J5" s="899" t="s">
        <v>268</v>
      </c>
      <c r="K5" s="898" t="s">
        <v>269</v>
      </c>
      <c r="L5" s="896" t="s">
        <v>80</v>
      </c>
      <c r="M5" s="899" t="s">
        <v>268</v>
      </c>
      <c r="N5" s="898" t="s">
        <v>269</v>
      </c>
      <c r="O5" s="896" t="s">
        <v>80</v>
      </c>
      <c r="P5" s="896" t="s">
        <v>268</v>
      </c>
      <c r="Q5" s="1336"/>
      <c r="R5" s="1336"/>
      <c r="S5" s="861"/>
      <c r="T5" s="58"/>
      <c r="U5" s="57"/>
      <c r="V5" s="58"/>
      <c r="W5" s="57"/>
      <c r="X5" s="58"/>
      <c r="Y5" s="57"/>
      <c r="Z5" s="58"/>
      <c r="AA5" s="57"/>
      <c r="AB5" s="58"/>
      <c r="AC5" s="57"/>
      <c r="AD5" s="58"/>
      <c r="AE5" s="57"/>
      <c r="AF5" s="58"/>
      <c r="AG5" s="12"/>
      <c r="AH5" s="59"/>
      <c r="AI5" s="59"/>
      <c r="AJ5" s="59"/>
      <c r="AK5" s="58"/>
      <c r="AL5" s="58"/>
      <c r="AM5" s="58"/>
      <c r="AN5" s="58"/>
      <c r="AO5" s="60"/>
      <c r="AP5" s="60"/>
      <c r="AQ5" s="60"/>
      <c r="AR5" s="60"/>
      <c r="AS5" s="60"/>
      <c r="AT5" s="60"/>
      <c r="AU5" s="59"/>
      <c r="AV5" s="59"/>
      <c r="AW5" s="12"/>
      <c r="AX5" s="60"/>
      <c r="AY5" s="60"/>
      <c r="AZ5" s="60"/>
      <c r="BA5" s="60"/>
      <c r="BB5" s="59"/>
      <c r="BC5" s="59"/>
      <c r="BD5" s="59"/>
      <c r="BE5" s="59"/>
      <c r="BF5" s="61"/>
      <c r="BG5" s="60"/>
      <c r="BH5" s="61"/>
      <c r="BI5" s="60"/>
      <c r="BJ5" s="59"/>
      <c r="BK5" s="12"/>
      <c r="BL5" s="58"/>
      <c r="BM5" s="58"/>
      <c r="BN5" s="58"/>
      <c r="BO5" s="58"/>
      <c r="BP5" s="58"/>
      <c r="BQ5" s="58"/>
      <c r="BR5" s="58"/>
      <c r="BS5" s="58"/>
      <c r="BT5" s="58"/>
      <c r="BU5" s="58"/>
      <c r="BV5" s="58"/>
      <c r="BW5" s="39"/>
      <c r="BX5" s="39"/>
      <c r="BY5" s="39"/>
      <c r="BZ5" s="39"/>
      <c r="CA5" s="39"/>
      <c r="CB5" s="52"/>
      <c r="CC5" s="52"/>
      <c r="CD5" s="52"/>
      <c r="CE5" s="52"/>
      <c r="CF5" s="52"/>
      <c r="CG5" s="52"/>
      <c r="CH5" s="52"/>
      <c r="CI5" s="52"/>
      <c r="CJ5" s="1"/>
      <c r="CK5" s="41"/>
      <c r="CL5" s="41"/>
      <c r="CM5" s="41"/>
      <c r="CN5" s="41"/>
      <c r="CO5" s="1"/>
      <c r="CP5" s="42"/>
      <c r="CQ5" s="41"/>
      <c r="CR5" s="41"/>
      <c r="CT5" s="41"/>
      <c r="CU5" s="41"/>
    </row>
    <row r="6" spans="1:102" ht="19.149999999999999" customHeight="1">
      <c r="A6" s="89">
        <v>1</v>
      </c>
      <c r="B6" s="222"/>
      <c r="C6" s="222"/>
      <c r="D6" s="900"/>
      <c r="E6" s="424"/>
      <c r="F6" s="225"/>
      <c r="G6" s="255"/>
      <c r="H6" s="424"/>
      <c r="I6" s="225"/>
      <c r="J6" s="256"/>
      <c r="K6" s="424"/>
      <c r="L6" s="226"/>
      <c r="M6" s="255"/>
      <c r="N6" s="424"/>
      <c r="O6" s="227"/>
      <c r="P6" s="227"/>
      <c r="Q6" s="476">
        <f>(COUNT(F6,I6,L6,O6))</f>
        <v>0</v>
      </c>
      <c r="R6" s="476">
        <f>(COUNT(G6,J6,M6,P6))</f>
        <v>0</v>
      </c>
      <c r="S6" s="867"/>
      <c r="T6" s="96"/>
      <c r="U6" s="96"/>
      <c r="V6" s="58"/>
      <c r="W6" s="57"/>
      <c r="X6" s="58"/>
      <c r="Y6" s="57"/>
      <c r="Z6" s="58"/>
      <c r="AA6" s="57"/>
      <c r="AB6" s="58"/>
      <c r="AC6" s="57"/>
      <c r="AD6" s="58"/>
      <c r="AE6" s="57"/>
      <c r="AF6" s="58"/>
      <c r="AG6" s="12"/>
      <c r="AH6" s="59"/>
      <c r="AI6" s="59"/>
      <c r="AJ6" s="59"/>
      <c r="AK6" s="58"/>
      <c r="AL6" s="58"/>
      <c r="AM6" s="58"/>
      <c r="AN6" s="58"/>
      <c r="AO6" s="60"/>
      <c r="AP6" s="60"/>
      <c r="AQ6" s="60"/>
      <c r="AR6" s="60"/>
      <c r="AS6" s="60"/>
      <c r="AT6" s="60"/>
      <c r="AU6" s="59"/>
      <c r="AV6" s="59"/>
      <c r="AW6" s="12"/>
      <c r="AX6" s="60"/>
      <c r="AY6" s="60"/>
      <c r="AZ6" s="60"/>
      <c r="BA6" s="60"/>
      <c r="BB6" s="59"/>
      <c r="BC6" s="59"/>
      <c r="BD6" s="59"/>
      <c r="BE6" s="59"/>
      <c r="BF6" s="61"/>
      <c r="BG6" s="60"/>
      <c r="BH6" s="61"/>
      <c r="BI6" s="60"/>
      <c r="BJ6" s="59"/>
      <c r="BK6" s="12"/>
      <c r="BL6" s="58"/>
      <c r="BM6" s="58"/>
      <c r="BN6" s="58"/>
      <c r="BO6" s="58"/>
      <c r="BP6" s="58"/>
      <c r="BQ6" s="58"/>
      <c r="BR6" s="58"/>
      <c r="BS6" s="58"/>
      <c r="BT6" s="58"/>
      <c r="BU6" s="58"/>
      <c r="BV6" s="58"/>
      <c r="BW6" s="12"/>
      <c r="BX6" s="59"/>
      <c r="BY6" s="59"/>
      <c r="BZ6" s="59"/>
      <c r="CA6" s="59"/>
      <c r="CB6" s="60"/>
      <c r="CC6" s="60"/>
      <c r="CD6" s="60"/>
      <c r="CE6" s="60"/>
      <c r="CF6" s="60"/>
      <c r="CG6" s="60"/>
      <c r="CH6" s="60"/>
      <c r="CI6" s="60"/>
      <c r="CJ6" s="3"/>
      <c r="CK6" s="41"/>
      <c r="CL6" s="63"/>
      <c r="CM6" s="63"/>
      <c r="CN6" s="41"/>
      <c r="CO6" s="2"/>
      <c r="CP6" s="55"/>
      <c r="CQ6" s="41"/>
      <c r="CR6" s="41"/>
      <c r="CT6" s="41"/>
      <c r="CU6" s="41"/>
    </row>
    <row r="7" spans="1:102" ht="19.149999999999999" customHeight="1">
      <c r="A7" s="89">
        <v>2</v>
      </c>
      <c r="B7" s="223"/>
      <c r="C7" s="223"/>
      <c r="D7" s="900"/>
      <c r="E7" s="424"/>
      <c r="F7" s="225"/>
      <c r="G7" s="255"/>
      <c r="H7" s="424"/>
      <c r="I7" s="225"/>
      <c r="J7" s="256"/>
      <c r="K7" s="424"/>
      <c r="L7" s="226"/>
      <c r="M7" s="255"/>
      <c r="N7" s="424"/>
      <c r="O7" s="227"/>
      <c r="P7" s="227"/>
      <c r="Q7" s="477">
        <f t="shared" ref="Q7:Q36" si="0">(COUNT(F7,I7,L7,O7))</f>
        <v>0</v>
      </c>
      <c r="R7" s="477">
        <f t="shared" ref="R7:R36" si="1">(COUNT(G7,J7,M7,P7))</f>
        <v>0</v>
      </c>
      <c r="S7" s="867"/>
      <c r="T7" s="96"/>
      <c r="U7" s="96"/>
      <c r="V7" s="58"/>
      <c r="W7" s="57"/>
      <c r="X7" s="58"/>
      <c r="Y7" s="57"/>
      <c r="Z7" s="58"/>
      <c r="AA7" s="57"/>
      <c r="AB7" s="58"/>
      <c r="AC7" s="57"/>
      <c r="AD7" s="58"/>
      <c r="AE7" s="57"/>
      <c r="AF7" s="58"/>
      <c r="AG7" s="12"/>
      <c r="AH7" s="59"/>
      <c r="AI7" s="59"/>
      <c r="AJ7" s="59"/>
      <c r="AK7" s="58"/>
      <c r="AL7" s="58"/>
      <c r="AM7" s="58"/>
      <c r="AN7" s="58"/>
      <c r="AO7" s="60"/>
      <c r="AP7" s="60"/>
      <c r="AQ7" s="60"/>
      <c r="AR7" s="60"/>
      <c r="AS7" s="60"/>
      <c r="AT7" s="60"/>
      <c r="AU7" s="59"/>
      <c r="AV7" s="59"/>
      <c r="AW7" s="12"/>
      <c r="AX7" s="60"/>
      <c r="AY7" s="60"/>
      <c r="AZ7" s="60"/>
      <c r="BA7" s="60"/>
      <c r="BB7" s="59"/>
      <c r="BC7" s="59"/>
      <c r="BD7" s="59"/>
      <c r="BE7" s="59"/>
      <c r="BF7" s="61"/>
      <c r="BG7" s="60"/>
      <c r="BH7" s="61"/>
      <c r="BI7" s="60"/>
      <c r="BJ7" s="59"/>
      <c r="BK7" s="12"/>
      <c r="BL7" s="58"/>
      <c r="BM7" s="58"/>
      <c r="BN7" s="58"/>
      <c r="BO7" s="58"/>
      <c r="BP7" s="58"/>
      <c r="BQ7" s="58"/>
      <c r="BR7" s="58"/>
      <c r="BS7" s="58"/>
      <c r="BT7" s="58"/>
      <c r="BU7" s="58"/>
      <c r="BV7" s="58"/>
      <c r="BW7" s="12"/>
      <c r="BX7" s="59"/>
      <c r="BY7" s="59"/>
      <c r="BZ7" s="59"/>
      <c r="CA7" s="59"/>
      <c r="CB7" s="60"/>
      <c r="CC7" s="60"/>
      <c r="CD7" s="60"/>
      <c r="CE7" s="60"/>
      <c r="CF7" s="60"/>
      <c r="CG7" s="60"/>
      <c r="CH7" s="60"/>
      <c r="CI7" s="60"/>
      <c r="CJ7" s="3"/>
      <c r="CK7" s="41"/>
      <c r="CL7" s="63"/>
      <c r="CM7" s="63"/>
      <c r="CN7" s="41"/>
      <c r="CO7" s="2"/>
      <c r="CP7" s="55"/>
      <c r="CQ7" s="41"/>
      <c r="CR7" s="41"/>
      <c r="CT7" s="41"/>
      <c r="CU7" s="41"/>
    </row>
    <row r="8" spans="1:102" ht="19.149999999999999" customHeight="1">
      <c r="A8" s="89">
        <v>3</v>
      </c>
      <c r="B8" s="223"/>
      <c r="C8" s="223"/>
      <c r="D8" s="900"/>
      <c r="E8" s="424"/>
      <c r="F8" s="225"/>
      <c r="G8" s="255"/>
      <c r="H8" s="424"/>
      <c r="I8" s="225"/>
      <c r="J8" s="256"/>
      <c r="K8" s="424"/>
      <c r="L8" s="226"/>
      <c r="M8" s="255"/>
      <c r="N8" s="424"/>
      <c r="O8" s="227"/>
      <c r="P8" s="227"/>
      <c r="Q8" s="477">
        <f t="shared" si="0"/>
        <v>0</v>
      </c>
      <c r="R8" s="477">
        <f t="shared" si="1"/>
        <v>0</v>
      </c>
      <c r="S8" s="867"/>
      <c r="T8" s="96"/>
      <c r="U8" s="96"/>
      <c r="V8" s="58"/>
      <c r="W8" s="57"/>
      <c r="X8" s="58"/>
      <c r="Y8" s="57"/>
      <c r="Z8" s="58"/>
      <c r="AA8" s="57"/>
      <c r="AB8" s="58"/>
      <c r="AC8" s="57"/>
      <c r="AD8" s="58"/>
      <c r="AE8" s="57"/>
      <c r="AF8" s="58"/>
      <c r="AG8" s="12"/>
      <c r="AH8" s="59"/>
      <c r="AI8" s="59"/>
      <c r="AJ8" s="59"/>
      <c r="AK8" s="58"/>
      <c r="AL8" s="58"/>
      <c r="AM8" s="58"/>
      <c r="AN8" s="58"/>
      <c r="AO8" s="60"/>
      <c r="AP8" s="60"/>
      <c r="AQ8" s="60"/>
      <c r="AR8" s="60"/>
      <c r="AS8" s="60"/>
      <c r="AT8" s="60"/>
      <c r="AU8" s="59"/>
      <c r="AV8" s="59"/>
      <c r="AW8" s="12"/>
      <c r="AX8" s="60"/>
      <c r="AY8" s="60"/>
      <c r="AZ8" s="60"/>
      <c r="BA8" s="60"/>
      <c r="BB8" s="59"/>
      <c r="BC8" s="59"/>
      <c r="BD8" s="59"/>
      <c r="BE8" s="59"/>
      <c r="BF8" s="61"/>
      <c r="BG8" s="60"/>
      <c r="BH8" s="61"/>
      <c r="BI8" s="60"/>
      <c r="BJ8" s="59"/>
      <c r="BK8" s="12"/>
      <c r="BL8" s="58"/>
      <c r="BM8" s="58"/>
      <c r="BN8" s="58"/>
      <c r="BO8" s="58"/>
      <c r="BP8" s="58"/>
      <c r="BQ8" s="58"/>
      <c r="BR8" s="58"/>
      <c r="BS8" s="58"/>
      <c r="BT8" s="58"/>
      <c r="BU8" s="58"/>
      <c r="BV8" s="58"/>
      <c r="BW8" s="12"/>
      <c r="BX8" s="59"/>
      <c r="BY8" s="59"/>
      <c r="BZ8" s="59"/>
      <c r="CA8" s="59"/>
      <c r="CB8" s="60"/>
      <c r="CC8" s="60"/>
      <c r="CD8" s="60"/>
      <c r="CE8" s="60"/>
      <c r="CF8" s="60"/>
      <c r="CG8" s="60"/>
      <c r="CH8" s="60"/>
      <c r="CI8" s="60"/>
      <c r="CJ8" s="3"/>
      <c r="CK8" s="41"/>
      <c r="CL8" s="63"/>
      <c r="CM8" s="63"/>
      <c r="CN8" s="41"/>
      <c r="CO8" s="2"/>
      <c r="CP8" s="55"/>
      <c r="CQ8" s="41"/>
      <c r="CR8" s="41"/>
      <c r="CS8" s="41"/>
      <c r="CT8" s="41"/>
      <c r="CU8" s="41"/>
      <c r="CW8" s="2"/>
      <c r="CX8" s="41"/>
    </row>
    <row r="9" spans="1:102" ht="19.149999999999999" customHeight="1">
      <c r="A9" s="89">
        <v>4</v>
      </c>
      <c r="B9" s="223"/>
      <c r="C9" s="223"/>
      <c r="D9" s="900"/>
      <c r="E9" s="424"/>
      <c r="F9" s="225"/>
      <c r="G9" s="255"/>
      <c r="H9" s="424"/>
      <c r="I9" s="225"/>
      <c r="J9" s="256"/>
      <c r="K9" s="424"/>
      <c r="L9" s="226"/>
      <c r="M9" s="255"/>
      <c r="N9" s="424"/>
      <c r="O9" s="227"/>
      <c r="P9" s="227"/>
      <c r="Q9" s="477">
        <f t="shared" si="0"/>
        <v>0</v>
      </c>
      <c r="R9" s="477">
        <f t="shared" si="1"/>
        <v>0</v>
      </c>
      <c r="S9" s="867"/>
      <c r="T9" s="96"/>
      <c r="U9" s="96"/>
      <c r="V9" s="58"/>
      <c r="W9" s="57"/>
      <c r="X9" s="58"/>
      <c r="Y9" s="57"/>
      <c r="Z9" s="58"/>
      <c r="AA9" s="57"/>
      <c r="AB9" s="58"/>
      <c r="AC9" s="57"/>
      <c r="AD9" s="58"/>
      <c r="AE9" s="57"/>
      <c r="AF9" s="58"/>
      <c r="AG9" s="12"/>
      <c r="AH9" s="59"/>
      <c r="AI9" s="59"/>
      <c r="AJ9" s="59"/>
      <c r="AK9" s="58"/>
      <c r="AL9" s="58"/>
      <c r="AM9" s="58"/>
      <c r="AN9" s="58"/>
      <c r="AO9" s="60"/>
      <c r="AP9" s="60"/>
      <c r="AQ9" s="60"/>
      <c r="AR9" s="60"/>
      <c r="AS9" s="60"/>
      <c r="AT9" s="60"/>
      <c r="AU9" s="59"/>
      <c r="AV9" s="59"/>
      <c r="AW9" s="12"/>
      <c r="AX9" s="60"/>
      <c r="AY9" s="60"/>
      <c r="AZ9" s="60"/>
      <c r="BA9" s="60"/>
      <c r="BB9" s="59"/>
      <c r="BC9" s="59"/>
      <c r="BD9" s="59"/>
      <c r="BE9" s="59"/>
      <c r="BF9" s="61"/>
      <c r="BG9" s="60"/>
      <c r="BH9" s="61"/>
      <c r="BI9" s="60"/>
      <c r="BJ9" s="59"/>
      <c r="BK9" s="12"/>
      <c r="BL9" s="58"/>
      <c r="BM9" s="58"/>
      <c r="BN9" s="58"/>
      <c r="BO9" s="58"/>
      <c r="BP9" s="58"/>
      <c r="BQ9" s="58"/>
      <c r="BR9" s="58"/>
      <c r="BS9" s="58"/>
      <c r="BT9" s="58"/>
      <c r="BU9" s="58"/>
      <c r="BV9" s="58"/>
      <c r="BW9" s="12"/>
      <c r="BX9" s="59"/>
      <c r="BY9" s="59"/>
      <c r="BZ9" s="59"/>
      <c r="CA9" s="59"/>
      <c r="CB9" s="60"/>
      <c r="CC9" s="60"/>
      <c r="CD9" s="60"/>
      <c r="CE9" s="60"/>
      <c r="CF9" s="60"/>
      <c r="CG9" s="60"/>
      <c r="CH9" s="60"/>
      <c r="CI9" s="60"/>
      <c r="CJ9" s="35"/>
      <c r="CK9" s="41"/>
      <c r="CL9" s="41"/>
      <c r="CM9" s="41"/>
      <c r="CN9" s="41"/>
      <c r="CO9" s="41"/>
      <c r="CP9" s="41"/>
      <c r="CQ9" s="41"/>
      <c r="CR9" s="41"/>
      <c r="CS9" s="41"/>
      <c r="CT9" s="41"/>
      <c r="CU9" s="41"/>
      <c r="CW9" s="2"/>
      <c r="CX9" s="41"/>
    </row>
    <row r="10" spans="1:102" ht="19.149999999999999" customHeight="1">
      <c r="A10" s="89">
        <v>5</v>
      </c>
      <c r="B10" s="223"/>
      <c r="C10" s="223"/>
      <c r="D10" s="900"/>
      <c r="E10" s="424"/>
      <c r="F10" s="225"/>
      <c r="G10" s="255"/>
      <c r="H10" s="424"/>
      <c r="I10" s="225"/>
      <c r="J10" s="256"/>
      <c r="K10" s="424"/>
      <c r="L10" s="226"/>
      <c r="M10" s="255"/>
      <c r="N10" s="424"/>
      <c r="O10" s="227"/>
      <c r="P10" s="227"/>
      <c r="Q10" s="477">
        <f t="shared" si="0"/>
        <v>0</v>
      </c>
      <c r="R10" s="477">
        <f t="shared" si="1"/>
        <v>0</v>
      </c>
      <c r="S10" s="867"/>
      <c r="T10" s="96"/>
      <c r="U10" s="96"/>
      <c r="V10" s="58"/>
      <c r="W10" s="57"/>
      <c r="X10" s="58"/>
      <c r="Y10" s="57"/>
      <c r="Z10" s="58"/>
      <c r="AA10" s="57"/>
      <c r="AB10" s="58"/>
      <c r="AC10" s="57"/>
      <c r="AD10" s="58"/>
      <c r="AE10" s="57"/>
      <c r="AF10" s="58"/>
      <c r="AG10" s="12"/>
      <c r="AH10" s="59"/>
      <c r="AI10" s="59"/>
      <c r="AJ10" s="59"/>
      <c r="AK10" s="58"/>
      <c r="AL10" s="58"/>
      <c r="AM10" s="58"/>
      <c r="AN10" s="58"/>
      <c r="AO10" s="60"/>
      <c r="AP10" s="60"/>
      <c r="AQ10" s="60"/>
      <c r="AR10" s="60"/>
      <c r="AS10" s="60"/>
      <c r="AT10" s="60"/>
      <c r="AU10" s="59"/>
      <c r="AV10" s="59"/>
      <c r="AW10" s="12"/>
      <c r="AX10" s="60"/>
      <c r="AY10" s="60"/>
      <c r="AZ10" s="60"/>
      <c r="BA10" s="60"/>
      <c r="BB10" s="59"/>
      <c r="BC10" s="59"/>
      <c r="BD10" s="59"/>
      <c r="BE10" s="59"/>
      <c r="BF10" s="61"/>
      <c r="BG10" s="60"/>
      <c r="BH10" s="61"/>
      <c r="BI10" s="60"/>
      <c r="BJ10" s="59"/>
      <c r="BK10" s="12"/>
      <c r="BL10" s="58"/>
      <c r="BM10" s="58"/>
      <c r="BN10" s="58"/>
      <c r="BO10" s="58"/>
      <c r="BP10" s="58"/>
      <c r="BQ10" s="58"/>
      <c r="BR10" s="58"/>
      <c r="BS10" s="58"/>
      <c r="BT10" s="58"/>
      <c r="BU10" s="58"/>
      <c r="BV10" s="58"/>
      <c r="BW10" s="12"/>
      <c r="BX10" s="59"/>
      <c r="BY10" s="59"/>
      <c r="BZ10" s="59"/>
      <c r="CA10" s="59"/>
      <c r="CB10" s="60"/>
      <c r="CC10" s="60"/>
      <c r="CD10" s="60"/>
      <c r="CE10" s="60"/>
      <c r="CF10" s="60"/>
      <c r="CG10" s="60"/>
      <c r="CH10" s="60"/>
      <c r="CI10" s="60"/>
      <c r="CJ10" s="64"/>
      <c r="CK10" s="41"/>
      <c r="CL10" s="41"/>
      <c r="CM10" s="41"/>
      <c r="CN10" s="41"/>
      <c r="CO10" s="41"/>
      <c r="CP10" s="41"/>
      <c r="CQ10" s="41"/>
      <c r="CR10" s="41"/>
      <c r="CS10" s="41"/>
      <c r="CT10" s="41"/>
      <c r="CU10" s="41"/>
      <c r="CW10" s="41"/>
      <c r="CX10" s="41"/>
    </row>
    <row r="11" spans="1:102" ht="19.149999999999999" customHeight="1">
      <c r="A11" s="89">
        <v>6</v>
      </c>
      <c r="B11" s="223"/>
      <c r="C11" s="223"/>
      <c r="D11" s="900"/>
      <c r="E11" s="424"/>
      <c r="F11" s="225"/>
      <c r="G11" s="255"/>
      <c r="H11" s="424"/>
      <c r="I11" s="225"/>
      <c r="J11" s="256"/>
      <c r="K11" s="424"/>
      <c r="L11" s="226"/>
      <c r="M11" s="255"/>
      <c r="N11" s="424"/>
      <c r="O11" s="227"/>
      <c r="P11" s="227"/>
      <c r="Q11" s="477">
        <f t="shared" si="0"/>
        <v>0</v>
      </c>
      <c r="R11" s="477">
        <f t="shared" si="1"/>
        <v>0</v>
      </c>
      <c r="S11" s="867"/>
      <c r="T11" s="96"/>
      <c r="U11" s="96"/>
      <c r="V11" s="58"/>
      <c r="W11" s="57"/>
      <c r="X11" s="58"/>
      <c r="Y11" s="57"/>
      <c r="Z11" s="58"/>
      <c r="AA11" s="57"/>
      <c r="AB11" s="58"/>
      <c r="AC11" s="57"/>
      <c r="AD11" s="58"/>
      <c r="AE11" s="57"/>
      <c r="AF11" s="58"/>
      <c r="AG11" s="12"/>
      <c r="AH11" s="59"/>
      <c r="AI11" s="59"/>
      <c r="AJ11" s="59"/>
      <c r="AK11" s="58"/>
      <c r="AL11" s="58"/>
      <c r="AM11" s="58"/>
      <c r="AN11" s="58"/>
      <c r="AO11" s="60"/>
      <c r="AP11" s="60"/>
      <c r="AQ11" s="60"/>
      <c r="AR11" s="60"/>
      <c r="AS11" s="60"/>
      <c r="AT11" s="60"/>
      <c r="AU11" s="59"/>
      <c r="AV11" s="59"/>
      <c r="AW11" s="12"/>
      <c r="AX11" s="60"/>
      <c r="AY11" s="60"/>
      <c r="AZ11" s="60"/>
      <c r="BA11" s="60"/>
      <c r="BB11" s="59"/>
      <c r="BC11" s="59"/>
      <c r="BD11" s="59"/>
      <c r="BE11" s="59"/>
      <c r="BF11" s="61"/>
      <c r="BG11" s="60"/>
      <c r="BH11" s="61"/>
      <c r="BI11" s="60"/>
      <c r="BJ11" s="59"/>
      <c r="BK11" s="12"/>
      <c r="BL11" s="58"/>
      <c r="BM11" s="58"/>
      <c r="BN11" s="58"/>
      <c r="BO11" s="58"/>
      <c r="BP11" s="58"/>
      <c r="BQ11" s="58"/>
      <c r="BR11" s="58"/>
      <c r="BS11" s="58"/>
      <c r="BT11" s="58"/>
      <c r="BU11" s="58"/>
      <c r="BV11" s="58"/>
      <c r="BW11" s="12"/>
      <c r="BX11" s="59"/>
      <c r="BY11" s="59"/>
      <c r="BZ11" s="59"/>
      <c r="CA11" s="59"/>
      <c r="CB11" s="60"/>
      <c r="CC11" s="60"/>
      <c r="CD11" s="60"/>
      <c r="CE11" s="60"/>
      <c r="CF11" s="60"/>
      <c r="CG11" s="60"/>
      <c r="CH11" s="60"/>
      <c r="CI11" s="60"/>
      <c r="CJ11" s="1"/>
      <c r="CK11" s="41"/>
      <c r="CL11" s="41"/>
      <c r="CM11" s="41"/>
      <c r="CN11" s="46"/>
      <c r="CO11" s="46"/>
      <c r="CP11" s="46"/>
      <c r="CQ11" s="41"/>
      <c r="CR11" s="41"/>
      <c r="CS11" s="41"/>
      <c r="CW11" s="2"/>
      <c r="CX11" s="41"/>
    </row>
    <row r="12" spans="1:102" ht="19.149999999999999" customHeight="1">
      <c r="A12" s="89">
        <v>7</v>
      </c>
      <c r="B12" s="223"/>
      <c r="C12" s="223"/>
      <c r="D12" s="900"/>
      <c r="E12" s="424"/>
      <c r="F12" s="225"/>
      <c r="G12" s="255"/>
      <c r="H12" s="424"/>
      <c r="I12" s="225"/>
      <c r="J12" s="256"/>
      <c r="K12" s="424"/>
      <c r="L12" s="226"/>
      <c r="M12" s="255"/>
      <c r="N12" s="424"/>
      <c r="O12" s="227"/>
      <c r="P12" s="227"/>
      <c r="Q12" s="477">
        <f t="shared" si="0"/>
        <v>0</v>
      </c>
      <c r="R12" s="477">
        <f t="shared" si="1"/>
        <v>0</v>
      </c>
      <c r="S12" s="867"/>
      <c r="T12" s="96"/>
      <c r="U12" s="96"/>
      <c r="V12" s="58"/>
      <c r="W12" s="57"/>
      <c r="X12" s="58"/>
      <c r="Y12" s="57"/>
      <c r="Z12" s="58"/>
      <c r="AA12" s="57"/>
      <c r="AB12" s="58"/>
      <c r="AC12" s="57"/>
      <c r="AD12" s="58"/>
      <c r="AE12" s="57"/>
      <c r="AF12" s="58"/>
      <c r="AG12" s="12"/>
      <c r="AH12" s="59"/>
      <c r="AI12" s="59"/>
      <c r="AJ12" s="59"/>
      <c r="AK12" s="58"/>
      <c r="AL12" s="58"/>
      <c r="AM12" s="58"/>
      <c r="AN12" s="58"/>
      <c r="AO12" s="60"/>
      <c r="AP12" s="60"/>
      <c r="AQ12" s="60"/>
      <c r="AR12" s="60"/>
      <c r="AS12" s="60"/>
      <c r="AT12" s="60"/>
      <c r="AU12" s="59"/>
      <c r="AV12" s="59"/>
      <c r="AW12" s="12"/>
      <c r="AX12" s="60"/>
      <c r="AY12" s="60"/>
      <c r="AZ12" s="60"/>
      <c r="BA12" s="60"/>
      <c r="BB12" s="59"/>
      <c r="BC12" s="59"/>
      <c r="BD12" s="59"/>
      <c r="BE12" s="59"/>
      <c r="BF12" s="61"/>
      <c r="BG12" s="60"/>
      <c r="BH12" s="61"/>
      <c r="BI12" s="60"/>
      <c r="BJ12" s="59"/>
      <c r="BK12" s="12"/>
      <c r="BL12" s="58"/>
      <c r="BM12" s="58"/>
      <c r="BN12" s="58"/>
      <c r="BO12" s="58"/>
      <c r="BP12" s="58"/>
      <c r="BQ12" s="58"/>
      <c r="BR12" s="58"/>
      <c r="BS12" s="58"/>
      <c r="BT12" s="58"/>
      <c r="BU12" s="58"/>
      <c r="BV12" s="58"/>
      <c r="BW12" s="12"/>
      <c r="BX12" s="59"/>
      <c r="BY12" s="59"/>
      <c r="BZ12" s="59"/>
      <c r="CA12" s="59"/>
      <c r="CB12" s="60"/>
      <c r="CC12" s="60"/>
      <c r="CD12" s="60"/>
      <c r="CE12" s="60"/>
      <c r="CF12" s="60"/>
      <c r="CG12" s="60"/>
      <c r="CH12" s="60"/>
      <c r="CI12" s="60"/>
      <c r="CJ12" s="1"/>
      <c r="CK12" s="41"/>
      <c r="CL12" s="41"/>
      <c r="CM12" s="41"/>
      <c r="CN12" s="46"/>
      <c r="CO12" s="46"/>
      <c r="CP12" s="46"/>
      <c r="CQ12" s="41"/>
      <c r="CR12" s="41"/>
      <c r="CS12" s="41"/>
      <c r="CW12" s="2"/>
      <c r="CX12" s="41"/>
    </row>
    <row r="13" spans="1:102" ht="19.149999999999999" customHeight="1">
      <c r="A13" s="89">
        <v>8</v>
      </c>
      <c r="B13" s="223"/>
      <c r="C13" s="223"/>
      <c r="D13" s="900"/>
      <c r="E13" s="424"/>
      <c r="F13" s="225"/>
      <c r="G13" s="255"/>
      <c r="H13" s="424"/>
      <c r="I13" s="225"/>
      <c r="J13" s="256"/>
      <c r="K13" s="424"/>
      <c r="L13" s="226"/>
      <c r="M13" s="255"/>
      <c r="N13" s="424"/>
      <c r="O13" s="227"/>
      <c r="P13" s="227"/>
      <c r="Q13" s="477">
        <f t="shared" si="0"/>
        <v>0</v>
      </c>
      <c r="R13" s="477">
        <f t="shared" si="1"/>
        <v>0</v>
      </c>
      <c r="S13" s="867"/>
      <c r="T13" s="96"/>
      <c r="U13" s="96"/>
      <c r="V13" s="58"/>
      <c r="W13" s="57"/>
      <c r="X13" s="58"/>
      <c r="Y13" s="57"/>
      <c r="Z13" s="58"/>
      <c r="AA13" s="57"/>
      <c r="AB13" s="58"/>
      <c r="AC13" s="57"/>
      <c r="AD13" s="58"/>
      <c r="AE13" s="57"/>
      <c r="AF13" s="58"/>
      <c r="AG13" s="12"/>
      <c r="AH13" s="59"/>
      <c r="AI13" s="59"/>
      <c r="AJ13" s="59"/>
      <c r="AK13" s="58"/>
      <c r="AL13" s="58"/>
      <c r="AM13" s="58"/>
      <c r="AN13" s="58"/>
      <c r="AO13" s="60"/>
      <c r="AP13" s="60"/>
      <c r="AQ13" s="60"/>
      <c r="AR13" s="60"/>
      <c r="AS13" s="60"/>
      <c r="AT13" s="60"/>
      <c r="AU13" s="59"/>
      <c r="AV13" s="59"/>
      <c r="AW13" s="12"/>
      <c r="AX13" s="60"/>
      <c r="AY13" s="60"/>
      <c r="AZ13" s="60"/>
      <c r="BA13" s="60"/>
      <c r="BB13" s="59"/>
      <c r="BC13" s="59"/>
      <c r="BD13" s="59"/>
      <c r="BE13" s="59"/>
      <c r="BF13" s="61"/>
      <c r="BG13" s="60"/>
      <c r="BH13" s="61"/>
      <c r="BI13" s="60"/>
      <c r="BJ13" s="59"/>
      <c r="BK13" s="12"/>
      <c r="BL13" s="58"/>
      <c r="BM13" s="58"/>
      <c r="BN13" s="58"/>
      <c r="BO13" s="58"/>
      <c r="BP13" s="58"/>
      <c r="BQ13" s="58"/>
      <c r="BR13" s="58"/>
      <c r="BS13" s="58"/>
      <c r="BT13" s="58"/>
      <c r="BU13" s="58"/>
      <c r="BV13" s="58"/>
      <c r="BW13" s="12"/>
      <c r="BX13" s="59"/>
      <c r="BY13" s="59"/>
      <c r="BZ13" s="59"/>
      <c r="CA13" s="59"/>
      <c r="CB13" s="60"/>
      <c r="CC13" s="60"/>
      <c r="CD13" s="60"/>
      <c r="CE13" s="60"/>
      <c r="CF13" s="60"/>
      <c r="CG13" s="60"/>
      <c r="CH13" s="60"/>
      <c r="CI13" s="60"/>
      <c r="CJ13" s="1"/>
      <c r="CK13" s="41"/>
      <c r="CL13" s="41"/>
      <c r="CM13" s="41"/>
      <c r="CN13" s="46"/>
      <c r="CO13" s="46"/>
      <c r="CP13" s="46"/>
      <c r="CQ13" s="41"/>
      <c r="CR13" s="41"/>
      <c r="CS13" s="41"/>
      <c r="CW13" s="2"/>
      <c r="CX13" s="41"/>
    </row>
    <row r="14" spans="1:102" ht="19.149999999999999" customHeight="1">
      <c r="A14" s="89">
        <v>9</v>
      </c>
      <c r="B14" s="223"/>
      <c r="C14" s="223"/>
      <c r="D14" s="900"/>
      <c r="E14" s="424"/>
      <c r="F14" s="225"/>
      <c r="G14" s="255"/>
      <c r="H14" s="424"/>
      <c r="I14" s="225"/>
      <c r="J14" s="255"/>
      <c r="K14" s="424"/>
      <c r="L14" s="226"/>
      <c r="M14" s="255"/>
      <c r="N14" s="424"/>
      <c r="O14" s="196"/>
      <c r="P14" s="196"/>
      <c r="Q14" s="477">
        <f t="shared" si="0"/>
        <v>0</v>
      </c>
      <c r="R14" s="477">
        <f t="shared" si="1"/>
        <v>0</v>
      </c>
      <c r="S14" s="867"/>
      <c r="T14" s="96"/>
      <c r="U14" s="96"/>
      <c r="V14" s="58"/>
      <c r="W14" s="57"/>
      <c r="X14" s="58"/>
      <c r="Y14" s="57"/>
      <c r="Z14" s="58"/>
      <c r="AA14" s="57"/>
      <c r="AB14" s="58"/>
      <c r="AC14" s="57"/>
      <c r="AD14" s="58"/>
      <c r="AE14" s="57"/>
      <c r="AF14" s="58"/>
      <c r="AG14" s="12"/>
      <c r="AH14" s="59"/>
      <c r="AI14" s="59"/>
      <c r="AJ14" s="59"/>
      <c r="AK14" s="58"/>
      <c r="AL14" s="58"/>
      <c r="AM14" s="58"/>
      <c r="AN14" s="58"/>
      <c r="AO14" s="60"/>
      <c r="AP14" s="60"/>
      <c r="AQ14" s="60"/>
      <c r="AR14" s="60"/>
      <c r="AS14" s="60"/>
      <c r="AT14" s="60"/>
      <c r="AU14" s="59"/>
      <c r="AV14" s="59"/>
      <c r="AW14" s="12"/>
      <c r="AX14" s="60"/>
      <c r="AY14" s="60"/>
      <c r="AZ14" s="60"/>
      <c r="BA14" s="60"/>
      <c r="BB14" s="59"/>
      <c r="BC14" s="59"/>
      <c r="BD14" s="59"/>
      <c r="BE14" s="59"/>
      <c r="BF14" s="61"/>
      <c r="BG14" s="60"/>
      <c r="BH14" s="61"/>
      <c r="BI14" s="60"/>
      <c r="BJ14" s="59"/>
      <c r="BK14" s="12"/>
      <c r="BL14" s="58"/>
      <c r="BM14" s="58"/>
      <c r="BN14" s="58"/>
      <c r="BO14" s="58"/>
      <c r="BP14" s="58"/>
      <c r="BQ14" s="58"/>
      <c r="BR14" s="58"/>
      <c r="BS14" s="58"/>
      <c r="BT14" s="58"/>
      <c r="BU14" s="58"/>
      <c r="BV14" s="58"/>
      <c r="BW14" s="12"/>
      <c r="BX14" s="59"/>
      <c r="BY14" s="59"/>
      <c r="BZ14" s="59"/>
      <c r="CA14" s="59"/>
      <c r="CB14" s="60"/>
      <c r="CC14" s="60"/>
      <c r="CD14" s="60"/>
      <c r="CE14" s="60"/>
      <c r="CF14" s="60"/>
      <c r="CG14" s="60"/>
      <c r="CH14" s="60"/>
      <c r="CI14" s="60"/>
      <c r="CJ14" s="1"/>
      <c r="CK14" s="41"/>
      <c r="CL14" s="41"/>
      <c r="CM14" s="41"/>
      <c r="CN14" s="46"/>
      <c r="CO14" s="46"/>
      <c r="CP14" s="46"/>
      <c r="CQ14" s="41"/>
      <c r="CR14" s="41"/>
      <c r="CS14" s="41"/>
      <c r="CW14" s="2"/>
      <c r="CX14" s="41"/>
    </row>
    <row r="15" spans="1:102" ht="19.149999999999999" customHeight="1">
      <c r="A15" s="89">
        <v>10</v>
      </c>
      <c r="B15" s="223"/>
      <c r="C15" s="223"/>
      <c r="D15" s="900"/>
      <c r="E15" s="424"/>
      <c r="F15" s="225"/>
      <c r="G15" s="255"/>
      <c r="H15" s="424"/>
      <c r="I15" s="225"/>
      <c r="J15" s="255"/>
      <c r="K15" s="424"/>
      <c r="L15" s="226"/>
      <c r="M15" s="255"/>
      <c r="N15" s="424"/>
      <c r="O15" s="196"/>
      <c r="P15" s="196"/>
      <c r="Q15" s="477">
        <f t="shared" si="0"/>
        <v>0</v>
      </c>
      <c r="R15" s="477">
        <f t="shared" si="1"/>
        <v>0</v>
      </c>
      <c r="S15" s="867"/>
      <c r="T15" s="96"/>
      <c r="U15" s="96"/>
      <c r="V15" s="58"/>
      <c r="W15" s="57"/>
      <c r="X15" s="58"/>
      <c r="Y15" s="57"/>
      <c r="Z15" s="58"/>
      <c r="AA15" s="57"/>
      <c r="AB15" s="58"/>
      <c r="AC15" s="57"/>
      <c r="AD15" s="58"/>
      <c r="AE15" s="57"/>
      <c r="AF15" s="58"/>
      <c r="AG15" s="12"/>
      <c r="AH15" s="59"/>
      <c r="AI15" s="59"/>
      <c r="AJ15" s="59"/>
      <c r="AK15" s="58"/>
      <c r="AL15" s="58"/>
      <c r="AM15" s="58"/>
      <c r="AN15" s="58"/>
      <c r="AO15" s="60"/>
      <c r="AP15" s="60"/>
      <c r="AQ15" s="60"/>
      <c r="AR15" s="60"/>
      <c r="AS15" s="60"/>
      <c r="AT15" s="60"/>
      <c r="AU15" s="59"/>
      <c r="AV15" s="59"/>
      <c r="AW15" s="12"/>
      <c r="AX15" s="60"/>
      <c r="AY15" s="60"/>
      <c r="AZ15" s="60"/>
      <c r="BA15" s="60"/>
      <c r="BB15" s="59"/>
      <c r="BC15" s="59"/>
      <c r="BD15" s="59"/>
      <c r="BE15" s="59"/>
      <c r="BF15" s="61"/>
      <c r="BG15" s="60"/>
      <c r="BH15" s="61"/>
      <c r="BI15" s="60"/>
      <c r="BJ15" s="59"/>
      <c r="BK15" s="12"/>
      <c r="BL15" s="58"/>
      <c r="BM15" s="58"/>
      <c r="BN15" s="58"/>
      <c r="BO15" s="58"/>
      <c r="BP15" s="58"/>
      <c r="BQ15" s="58"/>
      <c r="BR15" s="58"/>
      <c r="BS15" s="58"/>
      <c r="BT15" s="58"/>
      <c r="BU15" s="58"/>
      <c r="BV15" s="58"/>
      <c r="BW15" s="12"/>
      <c r="BX15" s="59"/>
      <c r="BY15" s="59"/>
      <c r="BZ15" s="59"/>
      <c r="CA15" s="59"/>
      <c r="CB15" s="60"/>
      <c r="CC15" s="60"/>
      <c r="CD15" s="60"/>
      <c r="CE15" s="60"/>
      <c r="CF15" s="60"/>
      <c r="CG15" s="60"/>
      <c r="CH15" s="60"/>
      <c r="CI15" s="60"/>
      <c r="CJ15" s="1"/>
      <c r="CK15" s="41"/>
      <c r="CL15" s="41"/>
      <c r="CM15" s="41"/>
      <c r="CN15" s="46"/>
      <c r="CO15" s="46"/>
      <c r="CP15" s="46"/>
      <c r="CQ15" s="41"/>
      <c r="CR15" s="41"/>
      <c r="CS15" s="41"/>
      <c r="CW15" s="2"/>
      <c r="CX15" s="41"/>
    </row>
    <row r="16" spans="1:102" ht="19.149999999999999" customHeight="1">
      <c r="A16" s="89">
        <v>11</v>
      </c>
      <c r="B16" s="223"/>
      <c r="C16" s="223"/>
      <c r="D16" s="900"/>
      <c r="E16" s="424"/>
      <c r="F16" s="225"/>
      <c r="G16" s="255"/>
      <c r="H16" s="424"/>
      <c r="I16" s="225"/>
      <c r="J16" s="255"/>
      <c r="K16" s="424"/>
      <c r="L16" s="226"/>
      <c r="M16" s="255"/>
      <c r="N16" s="424"/>
      <c r="O16" s="196"/>
      <c r="P16" s="196"/>
      <c r="Q16" s="477">
        <f t="shared" si="0"/>
        <v>0</v>
      </c>
      <c r="R16" s="477">
        <f t="shared" si="1"/>
        <v>0</v>
      </c>
      <c r="S16" s="867"/>
      <c r="T16" s="96"/>
      <c r="U16" s="96"/>
      <c r="V16" s="58"/>
      <c r="W16" s="57"/>
      <c r="X16" s="58"/>
      <c r="Y16" s="57"/>
      <c r="Z16" s="58"/>
      <c r="AA16" s="57"/>
      <c r="AB16" s="58"/>
      <c r="AC16" s="57"/>
      <c r="AD16" s="58"/>
      <c r="AE16" s="57"/>
      <c r="AF16" s="58"/>
      <c r="AG16" s="12"/>
      <c r="AH16" s="59"/>
      <c r="AI16" s="59"/>
      <c r="AJ16" s="59"/>
      <c r="AK16" s="58"/>
      <c r="AL16" s="58"/>
      <c r="AM16" s="58"/>
      <c r="AN16" s="58"/>
      <c r="AO16" s="60"/>
      <c r="AP16" s="60"/>
      <c r="AQ16" s="60"/>
      <c r="AR16" s="60"/>
      <c r="AS16" s="60"/>
      <c r="AT16" s="60"/>
      <c r="AU16" s="59"/>
      <c r="AV16" s="59"/>
      <c r="AW16" s="12"/>
      <c r="AX16" s="60"/>
      <c r="AY16" s="60"/>
      <c r="AZ16" s="60"/>
      <c r="BA16" s="60"/>
      <c r="BB16" s="59"/>
      <c r="BC16" s="59"/>
      <c r="BD16" s="59"/>
      <c r="BE16" s="59"/>
      <c r="BF16" s="61"/>
      <c r="BG16" s="60"/>
      <c r="BH16" s="61"/>
      <c r="BI16" s="60"/>
      <c r="BJ16" s="59"/>
      <c r="BK16" s="12"/>
      <c r="BL16" s="58"/>
      <c r="BM16" s="58"/>
      <c r="BN16" s="58"/>
      <c r="BO16" s="58"/>
      <c r="BP16" s="58"/>
      <c r="BQ16" s="58"/>
      <c r="BR16" s="58"/>
      <c r="BS16" s="58"/>
      <c r="BT16" s="58"/>
      <c r="BU16" s="58"/>
      <c r="BV16" s="58"/>
      <c r="BW16" s="12"/>
      <c r="BX16" s="59"/>
      <c r="BY16" s="59"/>
      <c r="BZ16" s="59"/>
      <c r="CA16" s="59"/>
      <c r="CB16" s="60"/>
      <c r="CC16" s="60"/>
      <c r="CD16" s="60"/>
      <c r="CE16" s="60"/>
      <c r="CF16" s="60"/>
      <c r="CG16" s="60"/>
      <c r="CH16" s="60"/>
      <c r="CI16" s="60"/>
      <c r="CJ16" s="41"/>
      <c r="CK16" s="41"/>
      <c r="CL16" s="41"/>
      <c r="CM16" s="41"/>
      <c r="CN16" s="46"/>
      <c r="CO16" s="46"/>
      <c r="CP16" s="46"/>
      <c r="CQ16" s="41"/>
      <c r="CR16" s="41"/>
      <c r="CS16" s="41"/>
      <c r="CW16" s="2"/>
      <c r="CX16" s="41"/>
    </row>
    <row r="17" spans="1:102" ht="19.149999999999999" customHeight="1">
      <c r="A17" s="89">
        <v>12</v>
      </c>
      <c r="B17" s="223"/>
      <c r="C17" s="223"/>
      <c r="D17" s="900"/>
      <c r="E17" s="425"/>
      <c r="F17" s="227"/>
      <c r="G17" s="208"/>
      <c r="H17" s="425"/>
      <c r="I17" s="227"/>
      <c r="J17" s="208"/>
      <c r="K17" s="425"/>
      <c r="L17" s="196"/>
      <c r="M17" s="208"/>
      <c r="N17" s="425"/>
      <c r="O17" s="196"/>
      <c r="P17" s="196"/>
      <c r="Q17" s="477">
        <f t="shared" si="0"/>
        <v>0</v>
      </c>
      <c r="R17" s="477">
        <f t="shared" si="1"/>
        <v>0</v>
      </c>
      <c r="S17" s="867"/>
      <c r="T17" s="96"/>
      <c r="U17" s="96"/>
      <c r="V17" s="58"/>
      <c r="W17" s="57"/>
      <c r="X17" s="58"/>
      <c r="Y17" s="57"/>
      <c r="Z17" s="58"/>
      <c r="AA17" s="57"/>
      <c r="AB17" s="58"/>
      <c r="AC17" s="57"/>
      <c r="AD17" s="58"/>
      <c r="AE17" s="57"/>
      <c r="AF17" s="58"/>
      <c r="AG17" s="12"/>
      <c r="AH17" s="59"/>
      <c r="AI17" s="59"/>
      <c r="AJ17" s="59"/>
      <c r="AK17" s="58"/>
      <c r="AL17" s="58"/>
      <c r="AM17" s="58"/>
      <c r="AN17" s="58"/>
      <c r="AO17" s="60"/>
      <c r="AP17" s="60"/>
      <c r="AQ17" s="60"/>
      <c r="AR17" s="60"/>
      <c r="AS17" s="60"/>
      <c r="AT17" s="60"/>
      <c r="AU17" s="59"/>
      <c r="AV17" s="59"/>
      <c r="AW17" s="12"/>
      <c r="AX17" s="60"/>
      <c r="AY17" s="60"/>
      <c r="AZ17" s="60"/>
      <c r="BA17" s="60"/>
      <c r="BB17" s="59"/>
      <c r="BC17" s="59"/>
      <c r="BD17" s="59"/>
      <c r="BE17" s="59"/>
      <c r="BF17" s="61"/>
      <c r="BG17" s="60"/>
      <c r="BH17" s="61"/>
      <c r="BI17" s="60"/>
      <c r="BJ17" s="59"/>
      <c r="BK17" s="12"/>
      <c r="BL17" s="58"/>
      <c r="BM17" s="58"/>
      <c r="BN17" s="58"/>
      <c r="BO17" s="58"/>
      <c r="BP17" s="58"/>
      <c r="BQ17" s="58"/>
      <c r="BR17" s="58"/>
      <c r="BS17" s="58"/>
      <c r="BT17" s="58"/>
      <c r="BU17" s="58"/>
      <c r="BV17" s="58"/>
      <c r="BW17" s="12"/>
      <c r="BX17" s="59"/>
      <c r="BY17" s="59"/>
      <c r="BZ17" s="59"/>
      <c r="CA17" s="59"/>
      <c r="CB17" s="60"/>
      <c r="CC17" s="60"/>
      <c r="CD17" s="60"/>
      <c r="CE17" s="60"/>
      <c r="CF17" s="60"/>
      <c r="CG17" s="60"/>
      <c r="CH17" s="60"/>
      <c r="CI17" s="60"/>
      <c r="CJ17" s="42"/>
      <c r="CK17" s="41"/>
      <c r="CL17" s="41"/>
      <c r="CM17" s="41"/>
      <c r="CN17" s="46"/>
      <c r="CO17" s="46"/>
      <c r="CP17" s="46"/>
      <c r="CQ17" s="41"/>
      <c r="CR17" s="41"/>
      <c r="CS17" s="41"/>
      <c r="CW17" s="2"/>
      <c r="CX17" s="41"/>
    </row>
    <row r="18" spans="1:102" ht="19.149999999999999" customHeight="1">
      <c r="A18" s="89">
        <v>13</v>
      </c>
      <c r="B18" s="223"/>
      <c r="C18" s="223"/>
      <c r="D18" s="900"/>
      <c r="E18" s="425"/>
      <c r="F18" s="227"/>
      <c r="G18" s="208"/>
      <c r="H18" s="425"/>
      <c r="I18" s="227"/>
      <c r="J18" s="208"/>
      <c r="K18" s="425"/>
      <c r="L18" s="196"/>
      <c r="M18" s="208"/>
      <c r="N18" s="425"/>
      <c r="O18" s="196"/>
      <c r="P18" s="196"/>
      <c r="Q18" s="477">
        <f t="shared" si="0"/>
        <v>0</v>
      </c>
      <c r="R18" s="477">
        <f t="shared" si="1"/>
        <v>0</v>
      </c>
      <c r="S18" s="867"/>
      <c r="T18" s="96"/>
      <c r="U18" s="96"/>
      <c r="V18" s="58"/>
      <c r="W18" s="57"/>
      <c r="X18" s="58"/>
      <c r="Y18" s="57"/>
      <c r="Z18" s="58"/>
      <c r="AA18" s="57"/>
      <c r="AB18" s="58"/>
      <c r="AC18" s="57"/>
      <c r="AD18" s="58"/>
      <c r="AE18" s="57"/>
      <c r="AF18" s="58"/>
      <c r="AG18" s="12"/>
      <c r="AH18" s="59"/>
      <c r="AI18" s="59"/>
      <c r="AJ18" s="59"/>
      <c r="AK18" s="58"/>
      <c r="AL18" s="58"/>
      <c r="AM18" s="58"/>
      <c r="AN18" s="58"/>
      <c r="AO18" s="60"/>
      <c r="AP18" s="60"/>
      <c r="AQ18" s="60"/>
      <c r="AR18" s="60"/>
      <c r="AS18" s="60"/>
      <c r="AT18" s="60"/>
      <c r="AU18" s="59"/>
      <c r="AV18" s="59"/>
      <c r="AW18" s="12"/>
      <c r="AX18" s="60"/>
      <c r="AY18" s="60"/>
      <c r="AZ18" s="60"/>
      <c r="BA18" s="60"/>
      <c r="BB18" s="59"/>
      <c r="BC18" s="59"/>
      <c r="BD18" s="59"/>
      <c r="BE18" s="59"/>
      <c r="BF18" s="61"/>
      <c r="BG18" s="60"/>
      <c r="BH18" s="61"/>
      <c r="BI18" s="60"/>
      <c r="BJ18" s="59"/>
      <c r="BK18" s="12"/>
      <c r="BL18" s="58"/>
      <c r="BM18" s="58"/>
      <c r="BN18" s="58"/>
      <c r="BO18" s="58"/>
      <c r="BP18" s="58"/>
      <c r="BQ18" s="58"/>
      <c r="BR18" s="58"/>
      <c r="BS18" s="58"/>
      <c r="BT18" s="58"/>
      <c r="BU18" s="58"/>
      <c r="BV18" s="58"/>
      <c r="BW18" s="12"/>
      <c r="BX18" s="59"/>
      <c r="BY18" s="59"/>
      <c r="BZ18" s="59"/>
      <c r="CA18" s="59"/>
      <c r="CB18" s="60"/>
      <c r="CC18" s="60"/>
      <c r="CD18" s="60"/>
      <c r="CE18" s="60"/>
      <c r="CF18" s="60"/>
      <c r="CG18" s="60"/>
      <c r="CH18" s="60"/>
      <c r="CI18" s="60"/>
      <c r="CJ18" s="41"/>
      <c r="CK18" s="41"/>
      <c r="CL18" s="41"/>
      <c r="CM18" s="41"/>
      <c r="CN18" s="46"/>
      <c r="CO18" s="46"/>
      <c r="CP18" s="46"/>
      <c r="CQ18" s="41"/>
      <c r="CR18" s="41"/>
      <c r="CS18" s="41"/>
      <c r="CW18" s="2"/>
      <c r="CX18" s="41"/>
    </row>
    <row r="19" spans="1:102" ht="19.149999999999999" customHeight="1">
      <c r="A19" s="89">
        <v>14</v>
      </c>
      <c r="B19" s="223"/>
      <c r="C19" s="223"/>
      <c r="D19" s="900"/>
      <c r="E19" s="425"/>
      <c r="F19" s="227"/>
      <c r="G19" s="208"/>
      <c r="H19" s="425"/>
      <c r="I19" s="227"/>
      <c r="J19" s="208"/>
      <c r="K19" s="425"/>
      <c r="L19" s="196"/>
      <c r="M19" s="208"/>
      <c r="N19" s="425"/>
      <c r="O19" s="196"/>
      <c r="P19" s="196"/>
      <c r="Q19" s="477">
        <f t="shared" si="0"/>
        <v>0</v>
      </c>
      <c r="R19" s="477">
        <f t="shared" si="1"/>
        <v>0</v>
      </c>
      <c r="S19" s="867"/>
      <c r="T19" s="96"/>
      <c r="U19" s="96"/>
      <c r="V19" s="58"/>
      <c r="W19" s="57"/>
      <c r="X19" s="58"/>
      <c r="Y19" s="57"/>
      <c r="Z19" s="58"/>
      <c r="AA19" s="57"/>
      <c r="AB19" s="58"/>
      <c r="AC19" s="57"/>
      <c r="AD19" s="58"/>
      <c r="AE19" s="57"/>
      <c r="AF19" s="58"/>
      <c r="AG19" s="12"/>
      <c r="AH19" s="59"/>
      <c r="AI19" s="59"/>
      <c r="AJ19" s="59"/>
      <c r="AK19" s="58"/>
      <c r="AL19" s="58"/>
      <c r="AM19" s="58"/>
      <c r="AN19" s="58"/>
      <c r="AO19" s="60"/>
      <c r="AP19" s="60"/>
      <c r="AQ19" s="60"/>
      <c r="AR19" s="60"/>
      <c r="AS19" s="60"/>
      <c r="AT19" s="60"/>
      <c r="AU19" s="59"/>
      <c r="AV19" s="59"/>
      <c r="AW19" s="12"/>
      <c r="AX19" s="60"/>
      <c r="AY19" s="60"/>
      <c r="AZ19" s="60"/>
      <c r="BA19" s="60"/>
      <c r="BB19" s="59"/>
      <c r="BC19" s="59"/>
      <c r="BD19" s="59"/>
      <c r="BE19" s="59"/>
      <c r="BF19" s="61"/>
      <c r="BG19" s="60"/>
      <c r="BH19" s="61"/>
      <c r="BI19" s="60"/>
      <c r="BJ19" s="59"/>
      <c r="BK19" s="12"/>
      <c r="BL19" s="58"/>
      <c r="BM19" s="58"/>
      <c r="BN19" s="58"/>
      <c r="BO19" s="58"/>
      <c r="BP19" s="58"/>
      <c r="BQ19" s="58"/>
      <c r="BR19" s="58"/>
      <c r="BS19" s="58"/>
      <c r="BT19" s="58"/>
      <c r="BU19" s="58"/>
      <c r="BV19" s="58"/>
      <c r="BW19" s="12"/>
      <c r="BX19" s="59"/>
      <c r="BY19" s="59"/>
      <c r="BZ19" s="59"/>
      <c r="CA19" s="59"/>
      <c r="CB19" s="60"/>
      <c r="CC19" s="60"/>
      <c r="CD19" s="60"/>
      <c r="CE19" s="60"/>
      <c r="CF19" s="60"/>
      <c r="CG19" s="60"/>
      <c r="CH19" s="60"/>
      <c r="CI19" s="60"/>
      <c r="CJ19" s="41"/>
      <c r="CK19" s="41"/>
      <c r="CL19" s="41"/>
      <c r="CM19" s="41"/>
      <c r="CN19" s="41"/>
      <c r="CO19" s="41"/>
      <c r="CQ19" s="41"/>
      <c r="CR19" s="41"/>
      <c r="CS19" s="41"/>
      <c r="CT19" s="41"/>
      <c r="CU19" s="41"/>
      <c r="CW19" s="2"/>
      <c r="CX19" s="41"/>
    </row>
    <row r="20" spans="1:102" ht="19.149999999999999" customHeight="1">
      <c r="A20" s="89">
        <v>15</v>
      </c>
      <c r="B20" s="223"/>
      <c r="C20" s="223"/>
      <c r="D20" s="900"/>
      <c r="E20" s="425"/>
      <c r="F20" s="227"/>
      <c r="G20" s="208"/>
      <c r="H20" s="425"/>
      <c r="I20" s="227"/>
      <c r="J20" s="208"/>
      <c r="K20" s="425"/>
      <c r="L20" s="196"/>
      <c r="M20" s="208"/>
      <c r="N20" s="425"/>
      <c r="O20" s="196"/>
      <c r="P20" s="196"/>
      <c r="Q20" s="477">
        <f t="shared" si="0"/>
        <v>0</v>
      </c>
      <c r="R20" s="477">
        <f t="shared" si="1"/>
        <v>0</v>
      </c>
      <c r="S20" s="867"/>
      <c r="T20" s="96"/>
      <c r="U20" s="96"/>
      <c r="V20" s="58"/>
      <c r="W20" s="57"/>
      <c r="X20" s="58"/>
      <c r="Y20" s="57"/>
      <c r="Z20" s="58"/>
      <c r="AA20" s="57"/>
      <c r="AB20" s="58"/>
      <c r="AC20" s="57"/>
      <c r="AD20" s="58"/>
      <c r="AE20" s="57"/>
      <c r="AF20" s="58"/>
      <c r="AG20" s="12"/>
      <c r="AH20" s="59"/>
      <c r="AI20" s="59"/>
      <c r="AJ20" s="59"/>
      <c r="AK20" s="58"/>
      <c r="AL20" s="58"/>
      <c r="AM20" s="58"/>
      <c r="AN20" s="58"/>
      <c r="AO20" s="60"/>
      <c r="AP20" s="60"/>
      <c r="AQ20" s="60"/>
      <c r="AR20" s="60"/>
      <c r="AS20" s="60"/>
      <c r="AT20" s="60"/>
      <c r="AU20" s="59"/>
      <c r="AV20" s="59"/>
      <c r="AW20" s="12"/>
      <c r="AX20" s="60"/>
      <c r="AY20" s="60"/>
      <c r="AZ20" s="60"/>
      <c r="BA20" s="60"/>
      <c r="BB20" s="59"/>
      <c r="BC20" s="59"/>
      <c r="BD20" s="59"/>
      <c r="BE20" s="59"/>
      <c r="BF20" s="61"/>
      <c r="BG20" s="60"/>
      <c r="BH20" s="61"/>
      <c r="BI20" s="60"/>
      <c r="BJ20" s="59"/>
      <c r="BK20" s="12"/>
      <c r="BL20" s="58"/>
      <c r="BM20" s="58"/>
      <c r="BN20" s="58"/>
      <c r="BO20" s="58"/>
      <c r="BP20" s="58"/>
      <c r="BQ20" s="58"/>
      <c r="BR20" s="58"/>
      <c r="BS20" s="58"/>
      <c r="BT20" s="58"/>
      <c r="BU20" s="58"/>
      <c r="BV20" s="58"/>
      <c r="BW20" s="12"/>
      <c r="BX20" s="59"/>
      <c r="BY20" s="59"/>
      <c r="BZ20" s="59"/>
      <c r="CA20" s="59"/>
      <c r="CB20" s="60"/>
      <c r="CC20" s="60"/>
      <c r="CD20" s="60"/>
      <c r="CE20" s="60"/>
      <c r="CF20" s="60"/>
      <c r="CG20" s="60"/>
      <c r="CH20" s="60"/>
      <c r="CI20" s="60"/>
      <c r="CJ20" s="65"/>
      <c r="CK20" s="40"/>
      <c r="CL20" s="40"/>
      <c r="CM20" s="40"/>
      <c r="CN20" s="40"/>
      <c r="CO20" s="40"/>
      <c r="CP20" s="43"/>
      <c r="CQ20" s="40"/>
      <c r="CR20" s="40"/>
      <c r="CS20" s="41"/>
      <c r="CT20" s="41"/>
      <c r="CU20" s="41"/>
      <c r="CW20" s="2"/>
      <c r="CX20" s="41"/>
    </row>
    <row r="21" spans="1:102" ht="19.149999999999999" customHeight="1">
      <c r="A21" s="89">
        <v>16</v>
      </c>
      <c r="B21" s="223"/>
      <c r="C21" s="223"/>
      <c r="D21" s="900"/>
      <c r="E21" s="425"/>
      <c r="F21" s="227"/>
      <c r="G21" s="208"/>
      <c r="H21" s="425"/>
      <c r="I21" s="227"/>
      <c r="J21" s="208"/>
      <c r="K21" s="425"/>
      <c r="L21" s="196"/>
      <c r="M21" s="208"/>
      <c r="N21" s="425"/>
      <c r="O21" s="196"/>
      <c r="P21" s="196"/>
      <c r="Q21" s="477">
        <f t="shared" si="0"/>
        <v>0</v>
      </c>
      <c r="R21" s="477">
        <f t="shared" si="1"/>
        <v>0</v>
      </c>
      <c r="S21" s="867"/>
      <c r="T21" s="96"/>
      <c r="U21" s="96"/>
      <c r="V21" s="58"/>
      <c r="W21" s="57"/>
      <c r="X21" s="58"/>
      <c r="Y21" s="57"/>
      <c r="Z21" s="58"/>
      <c r="AA21" s="57"/>
      <c r="AB21" s="58"/>
      <c r="AC21" s="57"/>
      <c r="AD21" s="58"/>
      <c r="AE21" s="57"/>
      <c r="AF21" s="58"/>
      <c r="AG21" s="12"/>
      <c r="AH21" s="59"/>
      <c r="AI21" s="59"/>
      <c r="AJ21" s="59"/>
      <c r="AK21" s="58"/>
      <c r="AL21" s="58"/>
      <c r="AM21" s="58"/>
      <c r="AN21" s="58"/>
      <c r="AO21" s="60"/>
      <c r="AP21" s="60"/>
      <c r="AQ21" s="60"/>
      <c r="AR21" s="60"/>
      <c r="AS21" s="60"/>
      <c r="AT21" s="60"/>
      <c r="AU21" s="59"/>
      <c r="AV21" s="59"/>
      <c r="AW21" s="12"/>
      <c r="AX21" s="60"/>
      <c r="AY21" s="60"/>
      <c r="AZ21" s="60"/>
      <c r="BA21" s="60"/>
      <c r="BB21" s="59"/>
      <c r="BC21" s="59"/>
      <c r="BD21" s="59"/>
      <c r="BE21" s="59"/>
      <c r="BF21" s="61"/>
      <c r="BG21" s="60"/>
      <c r="BH21" s="61"/>
      <c r="BI21" s="60"/>
      <c r="BJ21" s="59"/>
      <c r="BK21" s="12"/>
      <c r="BL21" s="58"/>
      <c r="BM21" s="58"/>
      <c r="BN21" s="58"/>
      <c r="BO21" s="58"/>
      <c r="BP21" s="58"/>
      <c r="BQ21" s="58"/>
      <c r="BR21" s="58"/>
      <c r="BS21" s="58"/>
      <c r="BT21" s="58"/>
      <c r="BU21" s="58"/>
      <c r="BV21" s="58"/>
      <c r="BW21" s="12"/>
      <c r="BX21" s="59"/>
      <c r="BY21" s="59"/>
      <c r="BZ21" s="59"/>
      <c r="CA21" s="59"/>
      <c r="CB21" s="60"/>
      <c r="CC21" s="60"/>
      <c r="CD21" s="60"/>
      <c r="CE21" s="60"/>
      <c r="CF21" s="60"/>
      <c r="CG21" s="60"/>
      <c r="CH21" s="60"/>
      <c r="CI21" s="60"/>
      <c r="CJ21" s="4"/>
      <c r="CK21" s="40"/>
      <c r="CL21" s="40"/>
      <c r="CM21" s="40"/>
      <c r="CN21" s="40"/>
      <c r="CO21" s="40"/>
      <c r="CP21" s="43"/>
      <c r="CQ21" s="40"/>
      <c r="CR21" s="40"/>
      <c r="CU21" s="41"/>
      <c r="CV21" s="41"/>
      <c r="CW21" s="41"/>
      <c r="CX21" s="41"/>
    </row>
    <row r="22" spans="1:102" ht="19.149999999999999" customHeight="1">
      <c r="A22" s="89">
        <v>17</v>
      </c>
      <c r="B22" s="223"/>
      <c r="C22" s="223"/>
      <c r="D22" s="900"/>
      <c r="E22" s="425"/>
      <c r="F22" s="227"/>
      <c r="G22" s="208"/>
      <c r="H22" s="425"/>
      <c r="I22" s="227"/>
      <c r="J22" s="208"/>
      <c r="K22" s="425"/>
      <c r="L22" s="196"/>
      <c r="M22" s="208"/>
      <c r="N22" s="425"/>
      <c r="O22" s="196"/>
      <c r="P22" s="196"/>
      <c r="Q22" s="477">
        <f t="shared" si="0"/>
        <v>0</v>
      </c>
      <c r="R22" s="477">
        <f t="shared" si="1"/>
        <v>0</v>
      </c>
      <c r="S22" s="867"/>
      <c r="T22" s="96"/>
      <c r="U22" s="96"/>
      <c r="V22" s="58"/>
      <c r="W22" s="57"/>
      <c r="X22" s="58"/>
      <c r="Y22" s="57"/>
      <c r="Z22" s="58"/>
      <c r="AA22" s="57"/>
      <c r="AB22" s="58"/>
      <c r="AC22" s="57"/>
      <c r="AD22" s="58"/>
      <c r="AE22" s="57"/>
      <c r="AF22" s="58"/>
      <c r="AG22" s="12"/>
      <c r="AH22" s="59"/>
      <c r="AI22" s="59"/>
      <c r="AJ22" s="59"/>
      <c r="AK22" s="58"/>
      <c r="AL22" s="58"/>
      <c r="AM22" s="58"/>
      <c r="AN22" s="58"/>
      <c r="AO22" s="60"/>
      <c r="AP22" s="60"/>
      <c r="AQ22" s="60"/>
      <c r="AR22" s="60"/>
      <c r="AS22" s="60"/>
      <c r="AT22" s="60"/>
      <c r="AU22" s="59"/>
      <c r="AV22" s="59"/>
      <c r="AW22" s="12"/>
      <c r="AX22" s="60"/>
      <c r="AY22" s="60"/>
      <c r="AZ22" s="60"/>
      <c r="BA22" s="60"/>
      <c r="BB22" s="59"/>
      <c r="BC22" s="59"/>
      <c r="BD22" s="59"/>
      <c r="BE22" s="59"/>
      <c r="BF22" s="61"/>
      <c r="BG22" s="60"/>
      <c r="BH22" s="61"/>
      <c r="BI22" s="60"/>
      <c r="BJ22" s="59"/>
      <c r="BK22" s="12"/>
      <c r="BL22" s="58"/>
      <c r="BM22" s="58"/>
      <c r="BN22" s="58"/>
      <c r="BO22" s="58"/>
      <c r="BP22" s="58"/>
      <c r="BQ22" s="58"/>
      <c r="BR22" s="58"/>
      <c r="BS22" s="58"/>
      <c r="BT22" s="58"/>
      <c r="BU22" s="58"/>
      <c r="BV22" s="58"/>
      <c r="BW22" s="12"/>
      <c r="BX22" s="59"/>
      <c r="BY22" s="59"/>
      <c r="BZ22" s="59"/>
      <c r="CA22" s="59"/>
      <c r="CB22" s="60"/>
      <c r="CC22" s="60"/>
      <c r="CD22" s="60"/>
      <c r="CE22" s="60"/>
      <c r="CF22" s="60"/>
      <c r="CG22" s="60"/>
      <c r="CH22" s="60"/>
      <c r="CI22" s="60"/>
      <c r="CJ22" s="40"/>
      <c r="CK22" s="40"/>
      <c r="CL22" s="66"/>
      <c r="CM22" s="43"/>
      <c r="CN22" s="40"/>
      <c r="CO22" s="40"/>
      <c r="CP22" s="43"/>
      <c r="CQ22" s="43"/>
      <c r="CR22" s="43"/>
      <c r="CS22" s="41"/>
      <c r="CU22" s="41"/>
      <c r="CV22" s="41"/>
      <c r="CW22" s="41"/>
      <c r="CX22" s="41"/>
    </row>
    <row r="23" spans="1:102" ht="19.149999999999999" customHeight="1">
      <c r="A23" s="89">
        <v>18</v>
      </c>
      <c r="B23" s="223"/>
      <c r="C23" s="223"/>
      <c r="D23" s="900"/>
      <c r="E23" s="425"/>
      <c r="F23" s="227"/>
      <c r="G23" s="208"/>
      <c r="H23" s="425"/>
      <c r="I23" s="227"/>
      <c r="J23" s="208"/>
      <c r="K23" s="425"/>
      <c r="L23" s="196"/>
      <c r="M23" s="208"/>
      <c r="N23" s="425"/>
      <c r="O23" s="196"/>
      <c r="P23" s="196"/>
      <c r="Q23" s="477">
        <f t="shared" si="0"/>
        <v>0</v>
      </c>
      <c r="R23" s="477">
        <f t="shared" si="1"/>
        <v>0</v>
      </c>
      <c r="S23" s="867"/>
      <c r="T23" s="96"/>
      <c r="U23" s="96"/>
      <c r="V23" s="58"/>
      <c r="W23" s="57"/>
      <c r="X23" s="58"/>
      <c r="Y23" s="57"/>
      <c r="Z23" s="58"/>
      <c r="AA23" s="57"/>
      <c r="AB23" s="58"/>
      <c r="AC23" s="57"/>
      <c r="AD23" s="58"/>
      <c r="AE23" s="57"/>
      <c r="AF23" s="58"/>
      <c r="AG23" s="12"/>
      <c r="AH23" s="59"/>
      <c r="AI23" s="59"/>
      <c r="AJ23" s="59"/>
      <c r="AK23" s="58"/>
      <c r="AL23" s="58"/>
      <c r="AM23" s="58"/>
      <c r="AN23" s="58"/>
      <c r="AO23" s="60"/>
      <c r="AP23" s="60"/>
      <c r="AQ23" s="60"/>
      <c r="AR23" s="60"/>
      <c r="AS23" s="60"/>
      <c r="AT23" s="60"/>
      <c r="AU23" s="59"/>
      <c r="AV23" s="59"/>
      <c r="AW23" s="12"/>
      <c r="AX23" s="60"/>
      <c r="AY23" s="60"/>
      <c r="AZ23" s="60"/>
      <c r="BA23" s="60"/>
      <c r="BB23" s="59"/>
      <c r="BC23" s="59"/>
      <c r="BD23" s="59"/>
      <c r="BE23" s="59"/>
      <c r="BF23" s="61"/>
      <c r="BG23" s="60"/>
      <c r="BH23" s="61"/>
      <c r="BI23" s="60"/>
      <c r="BJ23" s="59"/>
      <c r="BK23" s="12"/>
      <c r="BL23" s="58"/>
      <c r="BM23" s="58"/>
      <c r="BN23" s="58"/>
      <c r="BO23" s="58"/>
      <c r="BP23" s="58"/>
      <c r="BQ23" s="58"/>
      <c r="BR23" s="58"/>
      <c r="BS23" s="58"/>
      <c r="BT23" s="58"/>
      <c r="BU23" s="58"/>
      <c r="BV23" s="58"/>
      <c r="BW23" s="12"/>
      <c r="BX23" s="59"/>
      <c r="BY23" s="59"/>
      <c r="BZ23" s="59"/>
      <c r="CA23" s="59"/>
      <c r="CB23" s="60"/>
      <c r="CC23" s="60"/>
      <c r="CD23" s="60"/>
      <c r="CE23" s="60"/>
      <c r="CF23" s="60"/>
      <c r="CG23" s="60"/>
      <c r="CH23" s="60"/>
      <c r="CI23" s="60"/>
      <c r="CJ23" s="67"/>
      <c r="CK23" s="67"/>
      <c r="CL23" s="67"/>
      <c r="CM23" s="67"/>
      <c r="CN23" s="67"/>
      <c r="CO23" s="67"/>
      <c r="CP23" s="68"/>
      <c r="CQ23" s="67"/>
      <c r="CR23" s="67"/>
      <c r="CW23" s="41"/>
      <c r="CX23" s="41"/>
    </row>
    <row r="24" spans="1:102" ht="19.149999999999999" customHeight="1">
      <c r="A24" s="89">
        <v>19</v>
      </c>
      <c r="B24" s="223"/>
      <c r="C24" s="223"/>
      <c r="D24" s="900"/>
      <c r="E24" s="425"/>
      <c r="F24" s="227"/>
      <c r="G24" s="208"/>
      <c r="H24" s="425"/>
      <c r="I24" s="227"/>
      <c r="J24" s="208"/>
      <c r="K24" s="425"/>
      <c r="L24" s="196"/>
      <c r="M24" s="208"/>
      <c r="N24" s="425"/>
      <c r="O24" s="196"/>
      <c r="P24" s="196"/>
      <c r="Q24" s="477">
        <f t="shared" si="0"/>
        <v>0</v>
      </c>
      <c r="R24" s="477">
        <f t="shared" si="1"/>
        <v>0</v>
      </c>
      <c r="S24" s="867"/>
      <c r="T24" s="96"/>
      <c r="U24" s="96"/>
      <c r="V24" s="58"/>
      <c r="W24" s="57"/>
      <c r="X24" s="58"/>
      <c r="Y24" s="57"/>
      <c r="Z24" s="58"/>
      <c r="AA24" s="57"/>
      <c r="AB24" s="58"/>
      <c r="AC24" s="57"/>
      <c r="AD24" s="58"/>
      <c r="AE24" s="57"/>
      <c r="AF24" s="58"/>
      <c r="AG24" s="12"/>
      <c r="AH24" s="59"/>
      <c r="AI24" s="59"/>
      <c r="AJ24" s="59"/>
      <c r="AK24" s="58"/>
      <c r="AL24" s="58"/>
      <c r="AM24" s="58"/>
      <c r="AN24" s="58"/>
      <c r="AO24" s="60"/>
      <c r="AP24" s="60"/>
      <c r="AQ24" s="60"/>
      <c r="AR24" s="60"/>
      <c r="AS24" s="60"/>
      <c r="AT24" s="60"/>
      <c r="AU24" s="59"/>
      <c r="AV24" s="59"/>
      <c r="AW24" s="12"/>
      <c r="AX24" s="60"/>
      <c r="AY24" s="60"/>
      <c r="AZ24" s="60"/>
      <c r="BA24" s="60"/>
      <c r="BB24" s="59"/>
      <c r="BC24" s="59"/>
      <c r="BD24" s="59"/>
      <c r="BE24" s="59"/>
      <c r="BF24" s="61"/>
      <c r="BG24" s="60"/>
      <c r="BH24" s="61"/>
      <c r="BI24" s="60"/>
      <c r="BJ24" s="59"/>
      <c r="BK24" s="12"/>
      <c r="BL24" s="58"/>
      <c r="BM24" s="58"/>
      <c r="BN24" s="58"/>
      <c r="BO24" s="58"/>
      <c r="BP24" s="58"/>
      <c r="BQ24" s="58"/>
      <c r="BR24" s="58"/>
      <c r="BS24" s="58"/>
      <c r="BT24" s="58"/>
      <c r="BU24" s="58"/>
      <c r="BV24" s="58"/>
      <c r="BW24" s="12"/>
      <c r="BX24" s="59"/>
      <c r="BY24" s="59"/>
      <c r="BZ24" s="59"/>
      <c r="CA24" s="59"/>
      <c r="CB24" s="60"/>
      <c r="CC24" s="60"/>
      <c r="CD24" s="60"/>
      <c r="CE24" s="60"/>
      <c r="CF24" s="60"/>
      <c r="CG24" s="60"/>
      <c r="CH24" s="60"/>
      <c r="CI24" s="60"/>
      <c r="CJ24" s="2"/>
      <c r="CK24" s="41"/>
      <c r="CL24" s="41"/>
      <c r="CM24" s="41"/>
      <c r="CN24" s="41"/>
      <c r="CO24" s="41"/>
      <c r="CP24" s="41"/>
      <c r="CQ24" s="41"/>
      <c r="CR24" s="41"/>
      <c r="CS24" s="41"/>
      <c r="CT24" s="41"/>
      <c r="CU24" s="41"/>
      <c r="CV24" s="41"/>
      <c r="CW24" s="41"/>
      <c r="CX24" s="41"/>
    </row>
    <row r="25" spans="1:102" ht="19.149999999999999" customHeight="1">
      <c r="A25" s="89">
        <v>20</v>
      </c>
      <c r="B25" s="223"/>
      <c r="C25" s="223"/>
      <c r="D25" s="900"/>
      <c r="E25" s="425"/>
      <c r="F25" s="227"/>
      <c r="G25" s="208"/>
      <c r="H25" s="425"/>
      <c r="I25" s="227"/>
      <c r="J25" s="208"/>
      <c r="K25" s="425"/>
      <c r="L25" s="196"/>
      <c r="M25" s="208"/>
      <c r="N25" s="425"/>
      <c r="O25" s="196"/>
      <c r="P25" s="196"/>
      <c r="Q25" s="477">
        <f t="shared" si="0"/>
        <v>0</v>
      </c>
      <c r="R25" s="477">
        <f t="shared" si="1"/>
        <v>0</v>
      </c>
      <c r="S25" s="867"/>
      <c r="T25" s="96"/>
      <c r="U25" s="96"/>
      <c r="V25" s="58"/>
      <c r="W25" s="57"/>
      <c r="X25" s="58"/>
      <c r="Y25" s="57"/>
      <c r="Z25" s="58"/>
      <c r="AA25" s="57"/>
      <c r="AB25" s="58"/>
      <c r="AC25" s="57"/>
      <c r="AD25" s="58"/>
      <c r="AE25" s="57"/>
      <c r="AF25" s="58"/>
      <c r="AG25" s="12"/>
      <c r="AH25" s="59"/>
      <c r="AI25" s="59"/>
      <c r="AJ25" s="59"/>
      <c r="AK25" s="58"/>
      <c r="AL25" s="58"/>
      <c r="AM25" s="58"/>
      <c r="AN25" s="58"/>
      <c r="AO25" s="60"/>
      <c r="AP25" s="60"/>
      <c r="AQ25" s="60"/>
      <c r="AR25" s="60"/>
      <c r="AS25" s="60"/>
      <c r="AT25" s="60"/>
      <c r="AU25" s="59"/>
      <c r="AV25" s="59"/>
      <c r="AW25" s="12"/>
      <c r="AX25" s="60"/>
      <c r="AY25" s="60"/>
      <c r="AZ25" s="60"/>
      <c r="BA25" s="60"/>
      <c r="BB25" s="59"/>
      <c r="BC25" s="59"/>
      <c r="BD25" s="59"/>
      <c r="BE25" s="59"/>
      <c r="BF25" s="61"/>
      <c r="BG25" s="60"/>
      <c r="BH25" s="61"/>
      <c r="BI25" s="60"/>
      <c r="BJ25" s="59"/>
      <c r="BK25" s="12"/>
      <c r="BL25" s="58"/>
      <c r="BM25" s="58"/>
      <c r="BN25" s="58"/>
      <c r="BO25" s="58"/>
      <c r="BP25" s="58"/>
      <c r="BQ25" s="58"/>
      <c r="BR25" s="58"/>
      <c r="BS25" s="58"/>
      <c r="BT25" s="58"/>
      <c r="BU25" s="58"/>
      <c r="BV25" s="58"/>
      <c r="BW25" s="12"/>
      <c r="BX25" s="59"/>
      <c r="BY25" s="59"/>
      <c r="BZ25" s="59"/>
      <c r="CA25" s="59"/>
      <c r="CB25" s="60"/>
      <c r="CC25" s="60"/>
      <c r="CD25" s="60"/>
      <c r="CE25" s="60"/>
      <c r="CF25" s="60"/>
      <c r="CG25" s="60"/>
      <c r="CH25" s="60"/>
      <c r="CI25" s="60"/>
      <c r="CJ25" s="65"/>
      <c r="CK25" s="40"/>
      <c r="CL25" s="40"/>
      <c r="CM25" s="40"/>
      <c r="CN25" s="40"/>
      <c r="CO25" s="64"/>
      <c r="CP25" s="40"/>
      <c r="CQ25" s="40"/>
      <c r="CR25" s="40"/>
      <c r="CS25" s="40"/>
      <c r="CT25" s="43"/>
      <c r="CU25" s="43"/>
      <c r="CV25" s="43"/>
    </row>
    <row r="26" spans="1:102" ht="19.149999999999999" customHeight="1">
      <c r="A26" s="89">
        <v>21</v>
      </c>
      <c r="B26" s="223"/>
      <c r="C26" s="223"/>
      <c r="D26" s="900"/>
      <c r="E26" s="425"/>
      <c r="F26" s="227"/>
      <c r="G26" s="208"/>
      <c r="H26" s="425"/>
      <c r="I26" s="227"/>
      <c r="J26" s="208"/>
      <c r="K26" s="425"/>
      <c r="L26" s="196"/>
      <c r="M26" s="208"/>
      <c r="N26" s="425"/>
      <c r="O26" s="196"/>
      <c r="P26" s="196"/>
      <c r="Q26" s="477">
        <f t="shared" si="0"/>
        <v>0</v>
      </c>
      <c r="R26" s="477">
        <f t="shared" si="1"/>
        <v>0</v>
      </c>
      <c r="S26" s="867"/>
      <c r="T26" s="96"/>
      <c r="U26" s="96"/>
      <c r="V26" s="58"/>
      <c r="W26" s="57"/>
      <c r="X26" s="58"/>
      <c r="Y26" s="57"/>
      <c r="Z26" s="58"/>
      <c r="AA26" s="57"/>
      <c r="AB26" s="58"/>
      <c r="AC26" s="57"/>
      <c r="AD26" s="58"/>
      <c r="AE26" s="57"/>
      <c r="AF26" s="58"/>
      <c r="AG26" s="12"/>
      <c r="AH26" s="59"/>
      <c r="AI26" s="59"/>
      <c r="AJ26" s="59"/>
      <c r="AK26" s="58"/>
      <c r="AL26" s="58"/>
      <c r="AM26" s="58"/>
      <c r="AN26" s="58"/>
      <c r="AO26" s="60"/>
      <c r="AP26" s="60"/>
      <c r="AQ26" s="60"/>
      <c r="AR26" s="60"/>
      <c r="AS26" s="60"/>
      <c r="AT26" s="60"/>
      <c r="AU26" s="59"/>
      <c r="AV26" s="59"/>
      <c r="AW26" s="12"/>
      <c r="AX26" s="60"/>
      <c r="AY26" s="60"/>
      <c r="AZ26" s="60"/>
      <c r="BA26" s="60"/>
      <c r="BB26" s="59"/>
      <c r="BC26" s="59"/>
      <c r="BD26" s="59"/>
      <c r="BE26" s="59"/>
      <c r="BF26" s="61"/>
      <c r="BG26" s="60"/>
      <c r="BH26" s="61"/>
      <c r="BI26" s="60"/>
      <c r="BJ26" s="59"/>
      <c r="BK26" s="12"/>
      <c r="BL26" s="58"/>
      <c r="BM26" s="58"/>
      <c r="BN26" s="58"/>
      <c r="BO26" s="58"/>
      <c r="BP26" s="58"/>
      <c r="BQ26" s="58"/>
      <c r="BR26" s="58"/>
      <c r="BS26" s="58"/>
      <c r="BT26" s="58"/>
      <c r="BU26" s="58"/>
      <c r="BV26" s="58"/>
      <c r="BW26" s="12"/>
      <c r="BX26" s="59"/>
      <c r="BY26" s="59"/>
      <c r="BZ26" s="59"/>
      <c r="CA26" s="59"/>
      <c r="CB26" s="60"/>
      <c r="CC26" s="60"/>
      <c r="CD26" s="60"/>
      <c r="CE26" s="60"/>
      <c r="CF26" s="60"/>
      <c r="CG26" s="60"/>
      <c r="CH26" s="60"/>
      <c r="CI26" s="60"/>
      <c r="CJ26" s="4"/>
      <c r="CK26" s="40"/>
      <c r="CL26" s="40"/>
      <c r="CM26" s="40"/>
      <c r="CN26" s="40"/>
      <c r="CO26" s="7"/>
      <c r="CP26" s="40"/>
      <c r="CQ26" s="40"/>
      <c r="CR26" s="43"/>
      <c r="CS26" s="40"/>
      <c r="CT26" s="40"/>
      <c r="CU26" s="40"/>
      <c r="CV26" s="40"/>
      <c r="CW26" s="41"/>
      <c r="CX26" s="41"/>
    </row>
    <row r="27" spans="1:102" ht="19.149999999999999" customHeight="1">
      <c r="A27" s="89">
        <v>22</v>
      </c>
      <c r="B27" s="223"/>
      <c r="C27" s="223"/>
      <c r="D27" s="900"/>
      <c r="E27" s="425"/>
      <c r="F27" s="227"/>
      <c r="G27" s="208"/>
      <c r="H27" s="425"/>
      <c r="I27" s="227"/>
      <c r="J27" s="208"/>
      <c r="K27" s="425"/>
      <c r="L27" s="196"/>
      <c r="M27" s="208"/>
      <c r="N27" s="425"/>
      <c r="O27" s="196"/>
      <c r="P27" s="196"/>
      <c r="Q27" s="477">
        <f t="shared" si="0"/>
        <v>0</v>
      </c>
      <c r="R27" s="477">
        <f t="shared" si="1"/>
        <v>0</v>
      </c>
      <c r="S27" s="867"/>
      <c r="T27" s="96"/>
      <c r="U27" s="96"/>
      <c r="V27" s="58"/>
      <c r="W27" s="57"/>
      <c r="X27" s="58"/>
      <c r="Y27" s="57"/>
      <c r="Z27" s="58"/>
      <c r="AA27" s="57"/>
      <c r="AB27" s="58"/>
      <c r="AC27" s="57"/>
      <c r="AD27" s="58"/>
      <c r="AE27" s="57"/>
      <c r="AF27" s="58"/>
      <c r="AG27" s="12"/>
      <c r="AH27" s="59"/>
      <c r="AI27" s="59"/>
      <c r="AJ27" s="59"/>
      <c r="AK27" s="58"/>
      <c r="AL27" s="58"/>
      <c r="AM27" s="58"/>
      <c r="AN27" s="58"/>
      <c r="AO27" s="60"/>
      <c r="AP27" s="60"/>
      <c r="AQ27" s="60"/>
      <c r="AR27" s="60"/>
      <c r="AS27" s="60"/>
      <c r="AT27" s="60"/>
      <c r="AU27" s="59"/>
      <c r="AV27" s="59"/>
      <c r="AW27" s="12"/>
      <c r="AX27" s="60"/>
      <c r="AY27" s="60"/>
      <c r="AZ27" s="60"/>
      <c r="BA27" s="60"/>
      <c r="BB27" s="59"/>
      <c r="BC27" s="59"/>
      <c r="BD27" s="59"/>
      <c r="BE27" s="59"/>
      <c r="BF27" s="61"/>
      <c r="BG27" s="60"/>
      <c r="BH27" s="61"/>
      <c r="BI27" s="60"/>
      <c r="BJ27" s="59"/>
      <c r="BK27" s="12"/>
      <c r="BL27" s="58"/>
      <c r="BM27" s="58"/>
      <c r="BN27" s="58"/>
      <c r="BO27" s="58"/>
      <c r="BP27" s="58"/>
      <c r="BQ27" s="58"/>
      <c r="BR27" s="58"/>
      <c r="BS27" s="58"/>
      <c r="BT27" s="58"/>
      <c r="BU27" s="58"/>
      <c r="BV27" s="58"/>
      <c r="BW27" s="12"/>
      <c r="BX27" s="59"/>
      <c r="BY27" s="59"/>
      <c r="BZ27" s="59"/>
      <c r="CA27" s="59"/>
      <c r="CB27" s="60"/>
      <c r="CC27" s="60"/>
      <c r="CD27" s="60"/>
      <c r="CE27" s="60"/>
      <c r="CF27" s="60"/>
      <c r="CG27" s="60"/>
      <c r="CH27" s="60"/>
      <c r="CI27" s="60"/>
      <c r="CJ27" s="40"/>
      <c r="CK27" s="40"/>
      <c r="CL27" s="40"/>
      <c r="CM27" s="66"/>
      <c r="CN27" s="43"/>
      <c r="CO27" s="69"/>
      <c r="CP27" s="40"/>
      <c r="CQ27" s="40"/>
      <c r="CR27" s="43"/>
      <c r="CS27" s="43"/>
      <c r="CT27" s="69"/>
      <c r="CU27" s="5"/>
      <c r="CV27" s="40"/>
      <c r="CW27" s="41"/>
      <c r="CX27" s="2"/>
    </row>
    <row r="28" spans="1:102" ht="19.149999999999999" customHeight="1">
      <c r="A28" s="89">
        <v>23</v>
      </c>
      <c r="B28" s="223"/>
      <c r="C28" s="223"/>
      <c r="D28" s="900"/>
      <c r="E28" s="425"/>
      <c r="F28" s="227"/>
      <c r="G28" s="208"/>
      <c r="H28" s="425"/>
      <c r="I28" s="227"/>
      <c r="J28" s="208"/>
      <c r="K28" s="425"/>
      <c r="L28" s="196"/>
      <c r="M28" s="208"/>
      <c r="N28" s="425"/>
      <c r="O28" s="196"/>
      <c r="P28" s="196"/>
      <c r="Q28" s="477">
        <f t="shared" si="0"/>
        <v>0</v>
      </c>
      <c r="R28" s="477">
        <f t="shared" si="1"/>
        <v>0</v>
      </c>
      <c r="S28" s="867"/>
      <c r="T28" s="96"/>
      <c r="U28" s="96"/>
      <c r="V28" s="58"/>
      <c r="W28" s="57"/>
      <c r="X28" s="58"/>
      <c r="Y28" s="57"/>
      <c r="Z28" s="58"/>
      <c r="AA28" s="57"/>
      <c r="AB28" s="58"/>
      <c r="AC28" s="57"/>
      <c r="AD28" s="58"/>
      <c r="AE28" s="57"/>
      <c r="AF28" s="58"/>
      <c r="AG28" s="12"/>
      <c r="AH28" s="59"/>
      <c r="AI28" s="59"/>
      <c r="AJ28" s="59"/>
      <c r="AK28" s="58"/>
      <c r="AL28" s="58"/>
      <c r="AM28" s="58"/>
      <c r="AN28" s="58"/>
      <c r="AO28" s="60"/>
      <c r="AP28" s="60"/>
      <c r="AQ28" s="60"/>
      <c r="AR28" s="60"/>
      <c r="AS28" s="60"/>
      <c r="AT28" s="60"/>
      <c r="AU28" s="59"/>
      <c r="AV28" s="59"/>
      <c r="AW28" s="12"/>
      <c r="AX28" s="60"/>
      <c r="AY28" s="60"/>
      <c r="AZ28" s="60"/>
      <c r="BA28" s="60"/>
      <c r="BB28" s="59"/>
      <c r="BC28" s="59"/>
      <c r="BD28" s="59"/>
      <c r="BE28" s="59"/>
      <c r="BF28" s="61"/>
      <c r="BG28" s="60"/>
      <c r="BH28" s="61"/>
      <c r="BI28" s="60"/>
      <c r="BJ28" s="59"/>
      <c r="BK28" s="12"/>
      <c r="BL28" s="58"/>
      <c r="BM28" s="58"/>
      <c r="BN28" s="58"/>
      <c r="BO28" s="58"/>
      <c r="BP28" s="58"/>
      <c r="BQ28" s="58"/>
      <c r="BR28" s="58"/>
      <c r="BS28" s="58"/>
      <c r="BT28" s="58"/>
      <c r="BU28" s="58"/>
      <c r="BV28" s="58"/>
      <c r="BW28" s="12"/>
      <c r="BX28" s="59"/>
      <c r="BY28" s="59"/>
      <c r="BZ28" s="59"/>
      <c r="CA28" s="59"/>
      <c r="CB28" s="60"/>
      <c r="CC28" s="60"/>
      <c r="CD28" s="60"/>
      <c r="CE28" s="60"/>
      <c r="CF28" s="60"/>
      <c r="CG28" s="60"/>
      <c r="CH28" s="60"/>
      <c r="CI28" s="60"/>
      <c r="CJ28" s="41"/>
      <c r="CK28" s="41"/>
      <c r="CL28" s="70"/>
      <c r="CM28" s="41"/>
      <c r="CN28" s="41"/>
      <c r="CO28" s="71"/>
      <c r="CP28" s="41"/>
      <c r="CQ28" s="41"/>
      <c r="CR28" s="41"/>
      <c r="CS28" s="41"/>
      <c r="CT28" s="41"/>
      <c r="CU28" s="41"/>
      <c r="CV28" s="41"/>
      <c r="CW28" s="41"/>
      <c r="CX28" s="41"/>
    </row>
    <row r="29" spans="1:102" ht="19.149999999999999" customHeight="1">
      <c r="A29" s="89">
        <v>24</v>
      </c>
      <c r="B29" s="223"/>
      <c r="C29" s="223"/>
      <c r="D29" s="900"/>
      <c r="E29" s="425"/>
      <c r="F29" s="227"/>
      <c r="G29" s="208"/>
      <c r="H29" s="425"/>
      <c r="I29" s="227"/>
      <c r="J29" s="208"/>
      <c r="K29" s="425"/>
      <c r="L29" s="196"/>
      <c r="M29" s="208"/>
      <c r="N29" s="425"/>
      <c r="O29" s="196"/>
      <c r="P29" s="196"/>
      <c r="Q29" s="477">
        <f t="shared" si="0"/>
        <v>0</v>
      </c>
      <c r="R29" s="477">
        <f t="shared" si="1"/>
        <v>0</v>
      </c>
      <c r="S29" s="867"/>
      <c r="T29" s="96"/>
      <c r="U29" s="96"/>
      <c r="V29" s="58"/>
      <c r="W29" s="57"/>
      <c r="X29" s="58"/>
      <c r="Y29" s="57"/>
      <c r="Z29" s="58"/>
      <c r="AA29" s="57"/>
      <c r="AB29" s="58"/>
      <c r="AC29" s="57"/>
      <c r="AD29" s="58"/>
      <c r="AE29" s="57"/>
      <c r="AF29" s="58"/>
      <c r="AG29" s="12"/>
      <c r="AH29" s="59"/>
      <c r="AI29" s="59"/>
      <c r="AJ29" s="59"/>
      <c r="AK29" s="58"/>
      <c r="AL29" s="58"/>
      <c r="AM29" s="58"/>
      <c r="AN29" s="58"/>
      <c r="AO29" s="60"/>
      <c r="AP29" s="60"/>
      <c r="AQ29" s="60"/>
      <c r="AR29" s="60"/>
      <c r="AS29" s="60"/>
      <c r="AT29" s="60"/>
      <c r="AU29" s="59"/>
      <c r="AV29" s="59"/>
      <c r="AW29" s="12"/>
      <c r="AX29" s="60"/>
      <c r="AY29" s="60"/>
      <c r="AZ29" s="60"/>
      <c r="BA29" s="60"/>
      <c r="BB29" s="59"/>
      <c r="BC29" s="59"/>
      <c r="BD29" s="59"/>
      <c r="BE29" s="59"/>
      <c r="BF29" s="61"/>
      <c r="BG29" s="60"/>
      <c r="BH29" s="61"/>
      <c r="BI29" s="60"/>
      <c r="BJ29" s="59"/>
      <c r="BK29" s="12"/>
      <c r="BL29" s="58"/>
      <c r="BM29" s="58"/>
      <c r="BN29" s="58"/>
      <c r="BO29" s="58"/>
      <c r="BP29" s="58"/>
      <c r="BQ29" s="58"/>
      <c r="BR29" s="58"/>
      <c r="BS29" s="58"/>
      <c r="BT29" s="58"/>
      <c r="BU29" s="58"/>
      <c r="BV29" s="58"/>
      <c r="BW29" s="12"/>
      <c r="BX29" s="59"/>
      <c r="BY29" s="59"/>
      <c r="BZ29" s="59"/>
      <c r="CA29" s="59"/>
      <c r="CB29" s="60"/>
      <c r="CC29" s="60"/>
      <c r="CD29" s="60"/>
      <c r="CE29" s="60"/>
      <c r="CF29" s="60"/>
      <c r="CG29" s="60"/>
      <c r="CH29" s="60"/>
      <c r="CI29" s="60"/>
      <c r="CJ29" s="68"/>
      <c r="CK29" s="68"/>
      <c r="CL29" s="67"/>
      <c r="CM29" s="68"/>
      <c r="CN29" s="67"/>
      <c r="CO29" s="68"/>
      <c r="CP29" s="68"/>
      <c r="CQ29" s="67"/>
      <c r="CR29" s="68"/>
      <c r="CS29" s="67"/>
      <c r="CT29" s="67"/>
      <c r="CU29" s="67"/>
      <c r="CV29" s="41"/>
      <c r="CW29" s="41"/>
      <c r="CX29" s="41"/>
    </row>
    <row r="30" spans="1:102" ht="19.149999999999999" customHeight="1">
      <c r="A30" s="89">
        <v>25</v>
      </c>
      <c r="B30" s="223"/>
      <c r="C30" s="223"/>
      <c r="D30" s="900"/>
      <c r="E30" s="425"/>
      <c r="F30" s="227"/>
      <c r="G30" s="208"/>
      <c r="H30" s="425"/>
      <c r="I30" s="227"/>
      <c r="J30" s="208"/>
      <c r="K30" s="425"/>
      <c r="L30" s="196"/>
      <c r="M30" s="208"/>
      <c r="N30" s="425"/>
      <c r="O30" s="196"/>
      <c r="P30" s="196"/>
      <c r="Q30" s="477">
        <f t="shared" si="0"/>
        <v>0</v>
      </c>
      <c r="R30" s="477">
        <f t="shared" si="1"/>
        <v>0</v>
      </c>
      <c r="S30" s="867"/>
      <c r="T30" s="96"/>
      <c r="U30" s="96"/>
      <c r="V30" s="58"/>
      <c r="W30" s="57"/>
      <c r="X30" s="58"/>
      <c r="Y30" s="57"/>
      <c r="Z30" s="58"/>
      <c r="AA30" s="57"/>
      <c r="AB30" s="58"/>
      <c r="AC30" s="57"/>
      <c r="AD30" s="58"/>
      <c r="AE30" s="57"/>
      <c r="AF30" s="58"/>
      <c r="AG30" s="12"/>
      <c r="AH30" s="59"/>
      <c r="AI30" s="59"/>
      <c r="AJ30" s="59"/>
      <c r="AK30" s="58"/>
      <c r="AL30" s="58"/>
      <c r="AM30" s="58"/>
      <c r="AN30" s="58"/>
      <c r="AO30" s="60"/>
      <c r="AP30" s="60"/>
      <c r="AQ30" s="60"/>
      <c r="AR30" s="60"/>
      <c r="AS30" s="60"/>
      <c r="AT30" s="60"/>
      <c r="AU30" s="59"/>
      <c r="AV30" s="59"/>
      <c r="AW30" s="12"/>
      <c r="AX30" s="60"/>
      <c r="AY30" s="60"/>
      <c r="AZ30" s="60"/>
      <c r="BA30" s="60"/>
      <c r="BB30" s="59"/>
      <c r="BC30" s="59"/>
      <c r="BD30" s="59"/>
      <c r="BE30" s="59"/>
      <c r="BF30" s="61"/>
      <c r="BG30" s="60"/>
      <c r="BH30" s="61"/>
      <c r="BI30" s="60"/>
      <c r="BJ30" s="59"/>
      <c r="BK30" s="12"/>
      <c r="BL30" s="58"/>
      <c r="BM30" s="58"/>
      <c r="BN30" s="58"/>
      <c r="BO30" s="58"/>
      <c r="BP30" s="58"/>
      <c r="BQ30" s="58"/>
      <c r="BR30" s="58"/>
      <c r="BS30" s="58"/>
      <c r="BT30" s="58"/>
      <c r="BU30" s="58"/>
      <c r="BV30" s="58"/>
      <c r="BW30" s="12"/>
      <c r="BX30" s="59"/>
      <c r="BY30" s="59"/>
      <c r="BZ30" s="59"/>
      <c r="CA30" s="59"/>
      <c r="CB30" s="60"/>
      <c r="CC30" s="60"/>
      <c r="CD30" s="60"/>
      <c r="CE30" s="60"/>
      <c r="CF30" s="60"/>
      <c r="CG30" s="60"/>
      <c r="CH30" s="60"/>
      <c r="CI30" s="60"/>
      <c r="CJ30" s="68"/>
      <c r="CK30" s="68"/>
      <c r="CL30" s="67"/>
      <c r="CM30" s="68"/>
      <c r="CN30" s="67"/>
      <c r="CO30" s="68"/>
      <c r="CP30" s="68"/>
      <c r="CQ30" s="67"/>
      <c r="CR30" s="68"/>
      <c r="CS30" s="67"/>
      <c r="CT30" s="67"/>
      <c r="CU30" s="67"/>
      <c r="CV30" s="41"/>
      <c r="CW30" s="41"/>
      <c r="CX30" s="41"/>
    </row>
    <row r="31" spans="1:102" ht="19.149999999999999" customHeight="1">
      <c r="A31" s="89">
        <v>26</v>
      </c>
      <c r="B31" s="223"/>
      <c r="C31" s="223"/>
      <c r="D31" s="900"/>
      <c r="E31" s="425"/>
      <c r="F31" s="227"/>
      <c r="G31" s="208"/>
      <c r="H31" s="425"/>
      <c r="I31" s="227"/>
      <c r="J31" s="208"/>
      <c r="K31" s="425"/>
      <c r="L31" s="196"/>
      <c r="M31" s="208"/>
      <c r="N31" s="425"/>
      <c r="O31" s="196"/>
      <c r="P31" s="196"/>
      <c r="Q31" s="477">
        <f t="shared" si="0"/>
        <v>0</v>
      </c>
      <c r="R31" s="477">
        <f t="shared" si="1"/>
        <v>0</v>
      </c>
      <c r="S31" s="867"/>
      <c r="T31" s="96"/>
      <c r="U31" s="96"/>
      <c r="V31" s="58"/>
      <c r="W31" s="57"/>
      <c r="X31" s="58"/>
      <c r="Y31" s="57"/>
      <c r="Z31" s="58"/>
      <c r="AA31" s="57"/>
      <c r="AB31" s="58"/>
      <c r="AC31" s="57"/>
      <c r="AD31" s="58"/>
      <c r="AE31" s="57"/>
      <c r="AF31" s="58"/>
      <c r="AG31" s="12"/>
      <c r="AH31" s="59"/>
      <c r="AI31" s="59"/>
      <c r="AJ31" s="59"/>
      <c r="AK31" s="58"/>
      <c r="AL31" s="58"/>
      <c r="AM31" s="58"/>
      <c r="AN31" s="58"/>
      <c r="AO31" s="60"/>
      <c r="AP31" s="60"/>
      <c r="AQ31" s="60"/>
      <c r="AR31" s="60"/>
      <c r="AS31" s="60"/>
      <c r="AT31" s="60"/>
      <c r="AU31" s="59"/>
      <c r="AV31" s="59"/>
      <c r="AW31" s="12"/>
      <c r="AX31" s="60"/>
      <c r="AY31" s="60"/>
      <c r="AZ31" s="60"/>
      <c r="BA31" s="60"/>
      <c r="BB31" s="59"/>
      <c r="BC31" s="59"/>
      <c r="BD31" s="59"/>
      <c r="BE31" s="59"/>
      <c r="BF31" s="61"/>
      <c r="BG31" s="60"/>
      <c r="BH31" s="61"/>
      <c r="BI31" s="60"/>
      <c r="BJ31" s="59"/>
      <c r="BK31" s="12"/>
      <c r="BL31" s="58"/>
      <c r="BM31" s="58"/>
      <c r="BN31" s="58"/>
      <c r="BO31" s="58"/>
      <c r="BP31" s="58"/>
      <c r="BQ31" s="58"/>
      <c r="BR31" s="58"/>
      <c r="BS31" s="58"/>
      <c r="BT31" s="58"/>
      <c r="BU31" s="58"/>
      <c r="BV31" s="58"/>
      <c r="BW31" s="12"/>
      <c r="BX31" s="59"/>
      <c r="BY31" s="59"/>
      <c r="BZ31" s="59"/>
      <c r="CA31" s="59"/>
      <c r="CB31" s="60"/>
      <c r="CC31" s="60"/>
      <c r="CD31" s="60"/>
      <c r="CE31" s="60"/>
      <c r="CF31" s="60"/>
      <c r="CG31" s="60"/>
      <c r="CH31" s="60"/>
      <c r="CI31" s="60"/>
      <c r="CJ31" s="6"/>
      <c r="CK31" s="67"/>
      <c r="CL31" s="67"/>
      <c r="CM31" s="67"/>
      <c r="CN31" s="67"/>
      <c r="CO31" s="6"/>
      <c r="CP31" s="67"/>
      <c r="CQ31" s="67"/>
      <c r="CR31" s="67"/>
      <c r="CS31" s="67"/>
      <c r="CT31" s="67"/>
      <c r="CU31" s="67"/>
      <c r="CV31" s="41"/>
      <c r="CW31" s="41"/>
      <c r="CX31" s="41"/>
    </row>
    <row r="32" spans="1:102" ht="19.149999999999999" customHeight="1">
      <c r="A32" s="89">
        <v>27</v>
      </c>
      <c r="B32" s="223"/>
      <c r="C32" s="223"/>
      <c r="D32" s="900"/>
      <c r="E32" s="425"/>
      <c r="F32" s="227"/>
      <c r="G32" s="208"/>
      <c r="H32" s="425"/>
      <c r="I32" s="227"/>
      <c r="J32" s="208"/>
      <c r="K32" s="425"/>
      <c r="L32" s="196"/>
      <c r="M32" s="208"/>
      <c r="N32" s="425"/>
      <c r="O32" s="196"/>
      <c r="P32" s="196"/>
      <c r="Q32" s="477">
        <f t="shared" si="0"/>
        <v>0</v>
      </c>
      <c r="R32" s="477">
        <f t="shared" si="1"/>
        <v>0</v>
      </c>
      <c r="S32" s="867"/>
      <c r="T32" s="96"/>
      <c r="U32" s="96"/>
      <c r="V32" s="58"/>
      <c r="W32" s="57"/>
      <c r="X32" s="58"/>
      <c r="Y32" s="57"/>
      <c r="Z32" s="58"/>
      <c r="AA32" s="57"/>
      <c r="AB32" s="58"/>
      <c r="AC32" s="57"/>
      <c r="AD32" s="58"/>
      <c r="AE32" s="57"/>
      <c r="AF32" s="58"/>
      <c r="AG32" s="12"/>
      <c r="AH32" s="59"/>
      <c r="AI32" s="59"/>
      <c r="AJ32" s="59"/>
      <c r="AK32" s="58"/>
      <c r="AL32" s="58"/>
      <c r="AM32" s="58"/>
      <c r="AN32" s="58"/>
      <c r="AO32" s="60"/>
      <c r="AP32" s="60"/>
      <c r="AQ32" s="60"/>
      <c r="AR32" s="60"/>
      <c r="AS32" s="60"/>
      <c r="AT32" s="60"/>
      <c r="AU32" s="59"/>
      <c r="AV32" s="59"/>
      <c r="AW32" s="12"/>
      <c r="AX32" s="60"/>
      <c r="AY32" s="60"/>
      <c r="AZ32" s="60"/>
      <c r="BA32" s="60"/>
      <c r="BB32" s="59"/>
      <c r="BC32" s="59"/>
      <c r="BD32" s="59"/>
      <c r="BE32" s="59"/>
      <c r="BF32" s="61"/>
      <c r="BG32" s="60"/>
      <c r="BH32" s="61"/>
      <c r="BI32" s="60"/>
      <c r="BJ32" s="59"/>
      <c r="BK32" s="12"/>
      <c r="BL32" s="58"/>
      <c r="BM32" s="58"/>
      <c r="BN32" s="58"/>
      <c r="BO32" s="58"/>
      <c r="BP32" s="58"/>
      <c r="BQ32" s="58"/>
      <c r="BR32" s="58"/>
      <c r="BS32" s="58"/>
      <c r="BT32" s="58"/>
      <c r="BU32" s="58"/>
      <c r="BV32" s="58"/>
      <c r="BW32" s="12"/>
      <c r="BX32" s="59"/>
      <c r="BY32" s="59"/>
      <c r="BZ32" s="59"/>
      <c r="CA32" s="59"/>
      <c r="CB32" s="60"/>
      <c r="CC32" s="60"/>
      <c r="CD32" s="60"/>
      <c r="CE32" s="60"/>
      <c r="CF32" s="60"/>
      <c r="CG32" s="60"/>
      <c r="CH32" s="60"/>
      <c r="CI32" s="60"/>
      <c r="CJ32" s="68"/>
      <c r="CK32" s="68"/>
      <c r="CL32" s="68"/>
      <c r="CM32" s="68"/>
      <c r="CN32" s="68"/>
      <c r="CO32" s="68"/>
      <c r="CP32" s="68"/>
      <c r="CQ32" s="68"/>
      <c r="CR32" s="68"/>
      <c r="CS32" s="68"/>
      <c r="CT32" s="67"/>
      <c r="CU32" s="67"/>
      <c r="CV32" s="41"/>
      <c r="CW32" s="41"/>
      <c r="CX32" s="41"/>
    </row>
    <row r="33" spans="1:102" ht="19.149999999999999" customHeight="1">
      <c r="A33" s="89">
        <v>28</v>
      </c>
      <c r="B33" s="223"/>
      <c r="C33" s="223"/>
      <c r="D33" s="900"/>
      <c r="E33" s="425"/>
      <c r="F33" s="227"/>
      <c r="G33" s="208"/>
      <c r="H33" s="425"/>
      <c r="I33" s="227"/>
      <c r="J33" s="208"/>
      <c r="K33" s="425"/>
      <c r="L33" s="196"/>
      <c r="M33" s="208"/>
      <c r="N33" s="425"/>
      <c r="O33" s="196"/>
      <c r="P33" s="196"/>
      <c r="Q33" s="477">
        <f t="shared" si="0"/>
        <v>0</v>
      </c>
      <c r="R33" s="477">
        <f t="shared" si="1"/>
        <v>0</v>
      </c>
      <c r="S33" s="867"/>
      <c r="T33" s="96"/>
      <c r="U33" s="96"/>
      <c r="V33" s="58"/>
      <c r="W33" s="57"/>
      <c r="X33" s="58"/>
      <c r="Y33" s="57"/>
      <c r="Z33" s="58"/>
      <c r="AA33" s="57"/>
      <c r="AB33" s="58"/>
      <c r="AC33" s="57"/>
      <c r="AD33" s="58"/>
      <c r="AE33" s="57"/>
      <c r="AF33" s="58"/>
      <c r="AG33" s="12"/>
      <c r="AH33" s="59"/>
      <c r="AI33" s="59"/>
      <c r="AJ33" s="59"/>
      <c r="AK33" s="58"/>
      <c r="AL33" s="58"/>
      <c r="AM33" s="58"/>
      <c r="AN33" s="58"/>
      <c r="AO33" s="60"/>
      <c r="AP33" s="60"/>
      <c r="AQ33" s="60"/>
      <c r="AR33" s="60"/>
      <c r="AS33" s="60"/>
      <c r="AT33" s="60"/>
      <c r="AU33" s="59"/>
      <c r="AV33" s="59"/>
      <c r="AW33" s="12"/>
      <c r="AX33" s="60"/>
      <c r="AY33" s="60"/>
      <c r="AZ33" s="60"/>
      <c r="BA33" s="60"/>
      <c r="BB33" s="59"/>
      <c r="BC33" s="59"/>
      <c r="BD33" s="59"/>
      <c r="BE33" s="59"/>
      <c r="BF33" s="61"/>
      <c r="BG33" s="60"/>
      <c r="BH33" s="61"/>
      <c r="BI33" s="60"/>
      <c r="BJ33" s="59"/>
      <c r="BK33" s="12"/>
      <c r="BL33" s="58"/>
      <c r="BM33" s="58"/>
      <c r="BN33" s="58"/>
      <c r="BO33" s="58"/>
      <c r="BP33" s="58"/>
      <c r="BQ33" s="58"/>
      <c r="BR33" s="58"/>
      <c r="BS33" s="58"/>
      <c r="BT33" s="58"/>
      <c r="BU33" s="58"/>
      <c r="BV33" s="58"/>
      <c r="BW33" s="12"/>
      <c r="BX33" s="59"/>
      <c r="BY33" s="59"/>
      <c r="BZ33" s="59"/>
      <c r="CA33" s="59"/>
      <c r="CB33" s="60"/>
      <c r="CC33" s="60"/>
      <c r="CD33" s="60"/>
      <c r="CE33" s="60"/>
      <c r="CF33" s="60"/>
      <c r="CG33" s="60"/>
      <c r="CH33" s="60"/>
      <c r="CI33" s="60"/>
      <c r="CJ33" s="2"/>
      <c r="CK33" s="41"/>
      <c r="CL33" s="41"/>
      <c r="CM33" s="41"/>
      <c r="CN33" s="41"/>
      <c r="CO33" s="41"/>
      <c r="CP33" s="41"/>
      <c r="CQ33" s="41"/>
      <c r="CR33" s="41"/>
      <c r="CS33" s="41"/>
      <c r="CT33" s="41"/>
      <c r="CU33" s="41"/>
      <c r="CV33" s="41"/>
      <c r="CW33" s="41"/>
      <c r="CX33" s="41"/>
    </row>
    <row r="34" spans="1:102" ht="19.149999999999999" customHeight="1">
      <c r="A34" s="89">
        <v>29</v>
      </c>
      <c r="B34" s="223"/>
      <c r="C34" s="223"/>
      <c r="D34" s="900"/>
      <c r="E34" s="425"/>
      <c r="F34" s="227"/>
      <c r="G34" s="208"/>
      <c r="H34" s="425"/>
      <c r="I34" s="227"/>
      <c r="J34" s="208"/>
      <c r="K34" s="425"/>
      <c r="L34" s="196"/>
      <c r="M34" s="208"/>
      <c r="N34" s="425"/>
      <c r="O34" s="196"/>
      <c r="P34" s="196"/>
      <c r="Q34" s="477">
        <f t="shared" si="0"/>
        <v>0</v>
      </c>
      <c r="R34" s="477">
        <f t="shared" si="1"/>
        <v>0</v>
      </c>
      <c r="S34" s="867"/>
      <c r="T34" s="96"/>
      <c r="U34" s="96"/>
      <c r="V34" s="58"/>
      <c r="W34" s="57"/>
      <c r="X34" s="58"/>
      <c r="Y34" s="57"/>
      <c r="Z34" s="58"/>
      <c r="AA34" s="57"/>
      <c r="AB34" s="58"/>
      <c r="AC34" s="57"/>
      <c r="AD34" s="58"/>
      <c r="AE34" s="57"/>
      <c r="AF34" s="58"/>
      <c r="AG34" s="12"/>
      <c r="AH34" s="59"/>
      <c r="AI34" s="59"/>
      <c r="AJ34" s="59"/>
      <c r="AK34" s="58"/>
      <c r="AL34" s="58"/>
      <c r="AM34" s="58"/>
      <c r="AN34" s="58"/>
      <c r="AO34" s="60"/>
      <c r="AP34" s="60"/>
      <c r="AQ34" s="60"/>
      <c r="AR34" s="60"/>
      <c r="AS34" s="60"/>
      <c r="AT34" s="60"/>
      <c r="AU34" s="59"/>
      <c r="AV34" s="59"/>
      <c r="AW34" s="12"/>
      <c r="AX34" s="60"/>
      <c r="AY34" s="60"/>
      <c r="AZ34" s="60"/>
      <c r="BA34" s="60"/>
      <c r="BB34" s="59"/>
      <c r="BC34" s="59"/>
      <c r="BD34" s="59"/>
      <c r="BE34" s="59"/>
      <c r="BF34" s="61"/>
      <c r="BG34" s="60"/>
      <c r="BH34" s="61"/>
      <c r="BI34" s="60"/>
      <c r="BJ34" s="59"/>
      <c r="BK34" s="12"/>
      <c r="BL34" s="58"/>
      <c r="BM34" s="58"/>
      <c r="BN34" s="58"/>
      <c r="BO34" s="58"/>
      <c r="BP34" s="58"/>
      <c r="BQ34" s="58"/>
      <c r="BR34" s="58"/>
      <c r="BS34" s="58"/>
      <c r="BT34" s="58"/>
      <c r="BU34" s="58"/>
      <c r="BV34" s="58"/>
      <c r="BW34" s="12"/>
      <c r="BX34" s="59"/>
      <c r="BY34" s="59"/>
      <c r="BZ34" s="59"/>
      <c r="CA34" s="59"/>
      <c r="CB34" s="60"/>
      <c r="CC34" s="60"/>
      <c r="CD34" s="60"/>
      <c r="CE34" s="60"/>
      <c r="CF34" s="60"/>
      <c r="CG34" s="60"/>
      <c r="CH34" s="60"/>
      <c r="CI34" s="60"/>
      <c r="CJ34" s="1"/>
      <c r="CK34" s="41"/>
      <c r="CL34" s="41"/>
      <c r="CM34" s="41"/>
      <c r="CN34" s="41"/>
      <c r="CO34" s="41"/>
      <c r="CP34" s="41"/>
      <c r="CQ34" s="41"/>
      <c r="CR34" s="41"/>
      <c r="CS34" s="41"/>
      <c r="CW34" s="41"/>
      <c r="CX34" s="41"/>
    </row>
    <row r="35" spans="1:102" ht="19.149999999999999" customHeight="1">
      <c r="A35" s="89">
        <v>30</v>
      </c>
      <c r="B35" s="223"/>
      <c r="C35" s="223"/>
      <c r="D35" s="900"/>
      <c r="E35" s="425"/>
      <c r="F35" s="227"/>
      <c r="G35" s="208"/>
      <c r="H35" s="425"/>
      <c r="I35" s="227"/>
      <c r="J35" s="208"/>
      <c r="K35" s="425"/>
      <c r="L35" s="196"/>
      <c r="M35" s="208"/>
      <c r="N35" s="425"/>
      <c r="O35" s="196"/>
      <c r="P35" s="196"/>
      <c r="Q35" s="477">
        <f t="shared" si="0"/>
        <v>0</v>
      </c>
      <c r="R35" s="477">
        <f t="shared" si="1"/>
        <v>0</v>
      </c>
      <c r="S35" s="867"/>
      <c r="T35" s="96"/>
      <c r="U35" s="96"/>
      <c r="V35" s="72"/>
      <c r="W35" s="57"/>
      <c r="X35" s="72"/>
      <c r="Y35" s="57"/>
      <c r="Z35" s="72"/>
      <c r="AA35" s="57"/>
      <c r="AB35" s="72"/>
      <c r="AC35" s="57"/>
      <c r="AD35" s="72"/>
      <c r="AE35" s="57"/>
      <c r="AF35" s="61"/>
      <c r="AG35" s="12"/>
      <c r="AH35" s="59"/>
      <c r="AI35" s="59"/>
      <c r="AJ35" s="59"/>
      <c r="AK35" s="58"/>
      <c r="AL35" s="58"/>
      <c r="AM35" s="58"/>
      <c r="AN35" s="58"/>
      <c r="AO35" s="60"/>
      <c r="AP35" s="60"/>
      <c r="AQ35" s="60"/>
      <c r="AR35" s="60"/>
      <c r="AS35" s="60"/>
      <c r="AT35" s="60"/>
      <c r="AU35" s="59"/>
      <c r="AV35" s="59"/>
      <c r="AW35" s="12"/>
      <c r="AX35" s="60"/>
      <c r="AY35" s="60"/>
      <c r="AZ35" s="60"/>
      <c r="BA35" s="60"/>
      <c r="BB35" s="59"/>
      <c r="BC35" s="59"/>
      <c r="BD35" s="59"/>
      <c r="BE35" s="59"/>
      <c r="BF35" s="73"/>
      <c r="BG35" s="60"/>
      <c r="BH35" s="74"/>
      <c r="BI35" s="60"/>
      <c r="BJ35" s="59"/>
      <c r="BK35" s="12"/>
      <c r="BL35" s="58"/>
      <c r="BM35" s="58"/>
      <c r="BN35" s="58"/>
      <c r="BO35" s="58"/>
      <c r="BP35" s="58"/>
      <c r="BQ35" s="58"/>
      <c r="BR35" s="58"/>
      <c r="BS35" s="58"/>
      <c r="BT35" s="58"/>
      <c r="BU35" s="58"/>
      <c r="BV35" s="58"/>
      <c r="BW35" s="12"/>
      <c r="BX35" s="59"/>
      <c r="BY35" s="59"/>
      <c r="BZ35" s="59"/>
      <c r="CA35" s="59"/>
      <c r="CB35" s="60"/>
      <c r="CC35" s="60"/>
      <c r="CD35" s="60"/>
      <c r="CE35" s="60"/>
      <c r="CF35" s="60"/>
      <c r="CG35" s="60"/>
      <c r="CH35" s="60"/>
      <c r="CI35" s="60"/>
      <c r="CJ35" s="42"/>
      <c r="CK35" s="41"/>
      <c r="CL35" s="41"/>
      <c r="CM35" s="41"/>
      <c r="CN35" s="41"/>
      <c r="CO35" s="41"/>
      <c r="CP35" s="41"/>
      <c r="CQ35" s="41"/>
      <c r="CR35" s="41"/>
      <c r="CS35" s="41"/>
      <c r="CW35" s="41"/>
      <c r="CX35" s="41"/>
    </row>
    <row r="36" spans="1:102" ht="19.149999999999999" customHeight="1" thickBot="1">
      <c r="A36" s="90">
        <v>31</v>
      </c>
      <c r="B36" s="906"/>
      <c r="C36" s="224"/>
      <c r="D36" s="922"/>
      <c r="E36" s="426"/>
      <c r="F36" s="305"/>
      <c r="G36" s="214"/>
      <c r="H36" s="427"/>
      <c r="I36" s="305"/>
      <c r="J36" s="214"/>
      <c r="K36" s="427"/>
      <c r="L36" s="197"/>
      <c r="M36" s="214"/>
      <c r="N36" s="427"/>
      <c r="O36" s="211"/>
      <c r="P36" s="211"/>
      <c r="Q36" s="478">
        <f t="shared" si="0"/>
        <v>0</v>
      </c>
      <c r="R36" s="478">
        <f t="shared" si="1"/>
        <v>0</v>
      </c>
      <c r="S36" s="867"/>
      <c r="T36" s="96"/>
      <c r="U36" s="96"/>
      <c r="V36" s="58"/>
      <c r="W36" s="57"/>
      <c r="X36" s="58"/>
      <c r="Y36" s="57"/>
      <c r="Z36" s="58"/>
      <c r="AA36" s="57"/>
      <c r="AB36" s="58"/>
      <c r="AC36" s="57"/>
      <c r="AD36" s="58"/>
      <c r="AE36" s="57"/>
      <c r="AF36" s="58"/>
      <c r="BF36" s="75"/>
      <c r="BG36" s="60"/>
      <c r="BH36" s="75"/>
      <c r="BI36" s="76"/>
      <c r="BJ36" s="77"/>
      <c r="BK36" s="52"/>
      <c r="BL36" s="58"/>
      <c r="BM36" s="58"/>
      <c r="BN36" s="58"/>
      <c r="BO36" s="58"/>
      <c r="BP36" s="58"/>
      <c r="BQ36" s="58"/>
      <c r="BR36" s="58"/>
      <c r="BS36" s="58"/>
      <c r="BT36" s="58"/>
      <c r="BU36" s="58"/>
      <c r="BV36" s="58"/>
      <c r="BW36" s="12"/>
      <c r="BX36" s="59"/>
      <c r="BY36" s="59"/>
      <c r="BZ36" s="59"/>
      <c r="CA36" s="59"/>
      <c r="CB36" s="60"/>
      <c r="CC36" s="60"/>
      <c r="CD36" s="60"/>
      <c r="CE36" s="60"/>
      <c r="CF36" s="60"/>
      <c r="CG36" s="60"/>
      <c r="CH36" s="60"/>
      <c r="CI36" s="60"/>
      <c r="CJ36" s="1"/>
      <c r="CK36" s="41"/>
      <c r="CL36" s="41"/>
      <c r="CM36" s="41"/>
      <c r="CN36" s="41"/>
      <c r="CO36" s="41"/>
      <c r="CP36" s="41"/>
      <c r="CQ36" s="41"/>
      <c r="CR36" s="41"/>
      <c r="CS36" s="41"/>
      <c r="CT36" s="2"/>
      <c r="CU36" s="41"/>
      <c r="CV36" s="41"/>
      <c r="CW36" s="41"/>
      <c r="CX36" s="41"/>
    </row>
    <row r="37" spans="1:102" s="91" customFormat="1" ht="25.15" customHeight="1" thickBot="1">
      <c r="A37" s="581" t="s">
        <v>270</v>
      </c>
      <c r="B37" s="905" t="str">
        <f>IFERROR(AVERAGE(B6:C36), " ")</f>
        <v xml:space="preserve"> </v>
      </c>
      <c r="C37" s="1348" t="s">
        <v>718</v>
      </c>
      <c r="D37" s="1349"/>
      <c r="E37" s="306"/>
      <c r="F37" s="307" t="str">
        <f>IFERROR(AVERAGE(F6:F36), " ")</f>
        <v xml:space="preserve"> </v>
      </c>
      <c r="G37" s="308" t="str">
        <f t="shared" ref="G37:P37" si="2">IFERROR(AVERAGE(G6:G36), " ")</f>
        <v xml:space="preserve"> </v>
      </c>
      <c r="H37" s="309"/>
      <c r="I37" s="308" t="str">
        <f t="shared" si="2"/>
        <v xml:space="preserve"> </v>
      </c>
      <c r="J37" s="308" t="str">
        <f t="shared" si="2"/>
        <v xml:space="preserve"> </v>
      </c>
      <c r="K37" s="309"/>
      <c r="L37" s="307" t="str">
        <f t="shared" si="2"/>
        <v xml:space="preserve"> </v>
      </c>
      <c r="M37" s="308" t="str">
        <f t="shared" si="2"/>
        <v xml:space="preserve"> </v>
      </c>
      <c r="N37" s="309"/>
      <c r="O37" s="307" t="str">
        <f t="shared" si="2"/>
        <v xml:space="preserve"> </v>
      </c>
      <c r="P37" s="310" t="str">
        <f t="shared" si="2"/>
        <v xml:space="preserve"> </v>
      </c>
      <c r="Q37" s="479">
        <f>COUNTIF(Q6:Q36,"&gt;0")</f>
        <v>0</v>
      </c>
      <c r="R37" s="479">
        <f>COUNTIF(R6:R36,"&gt;0")</f>
        <v>0</v>
      </c>
      <c r="S37" s="910"/>
      <c r="T37" s="96"/>
      <c r="U37" s="96"/>
      <c r="V37" s="283"/>
      <c r="W37" s="283"/>
      <c r="X37" s="283"/>
      <c r="Y37" s="283"/>
      <c r="Z37" s="283"/>
      <c r="AA37" s="283"/>
      <c r="AB37" s="283"/>
      <c r="AZ37" s="153"/>
      <c r="BG37" s="688"/>
      <c r="BO37" s="154"/>
      <c r="BW37" s="119"/>
      <c r="BX37" s="155"/>
      <c r="BY37" s="155"/>
      <c r="BZ37" s="155"/>
      <c r="CA37" s="155"/>
      <c r="CB37" s="156"/>
      <c r="CC37" s="156"/>
      <c r="CD37" s="156"/>
      <c r="CE37" s="156"/>
      <c r="CF37" s="156"/>
      <c r="CG37" s="156"/>
      <c r="CH37" s="156"/>
      <c r="CI37" s="156"/>
      <c r="CJ37" s="120"/>
      <c r="CK37" s="121"/>
      <c r="CL37" s="121"/>
      <c r="CM37" s="121"/>
      <c r="CN37" s="121"/>
      <c r="CO37" s="121"/>
      <c r="CP37" s="121"/>
      <c r="CQ37" s="121"/>
      <c r="CR37" s="121"/>
      <c r="CS37" s="121"/>
      <c r="CT37" s="121"/>
      <c r="CU37" s="157"/>
      <c r="CV37" s="121"/>
      <c r="CW37" s="121"/>
      <c r="CX37" s="121"/>
    </row>
    <row r="38" spans="1:102" s="91" customFormat="1" ht="25.15" customHeight="1" thickBot="1">
      <c r="A38" s="581" t="s">
        <v>271</v>
      </c>
      <c r="B38" s="904" t="str">
        <f>IF(SUM(B6:C36)=0, " ", SUM(B6:C36))</f>
        <v xml:space="preserve"> </v>
      </c>
      <c r="C38" s="1350" t="s">
        <v>272</v>
      </c>
      <c r="D38" s="1351"/>
      <c r="E38" s="311"/>
      <c r="F38" s="312" t="str">
        <f>IF(MIN(F6:F36)=0,"",MIN(F6:F36))</f>
        <v/>
      </c>
      <c r="G38" s="313"/>
      <c r="H38" s="314"/>
      <c r="I38" s="312" t="str">
        <f>IF(MIN(I6:I36)=0,"",MIN(I6:I36))</f>
        <v/>
      </c>
      <c r="J38" s="313"/>
      <c r="K38" s="314"/>
      <c r="L38" s="312" t="str">
        <f>IF(MIN(L6:L36)=0,"",MIN(L6:L36))</f>
        <v/>
      </c>
      <c r="M38" s="313"/>
      <c r="N38" s="314"/>
      <c r="O38" s="312" t="str">
        <f>IF(MIN(O6:O36)=0,"",MIN(O6:O36))</f>
        <v/>
      </c>
      <c r="P38" s="315"/>
      <c r="Q38" s="919"/>
      <c r="R38" s="911"/>
      <c r="S38" s="911"/>
      <c r="T38" s="689"/>
      <c r="U38" s="689"/>
      <c r="AZ38" s="153"/>
      <c r="BG38" s="688"/>
      <c r="BO38" s="154"/>
      <c r="BW38" s="119"/>
      <c r="BX38" s="155"/>
      <c r="BY38" s="155"/>
      <c r="BZ38" s="155"/>
      <c r="CA38" s="155"/>
      <c r="CB38" s="156"/>
      <c r="CC38" s="156"/>
      <c r="CD38" s="156"/>
      <c r="CE38" s="156"/>
      <c r="CF38" s="156"/>
      <c r="CG38" s="156"/>
      <c r="CH38" s="156"/>
      <c r="CI38" s="156"/>
      <c r="CJ38" s="120"/>
      <c r="CK38" s="121"/>
      <c r="CL38" s="121"/>
      <c r="CM38" s="121"/>
      <c r="CN38" s="121"/>
      <c r="CO38" s="121"/>
      <c r="CP38" s="121"/>
      <c r="CQ38" s="121"/>
      <c r="CR38" s="121"/>
      <c r="CS38" s="121"/>
      <c r="CT38" s="121"/>
      <c r="CU38" s="157"/>
      <c r="CV38" s="121"/>
      <c r="CW38" s="121"/>
      <c r="CX38" s="121"/>
    </row>
    <row r="39" spans="1:102" s="91" customFormat="1" ht="25.15" customHeight="1" thickBot="1">
      <c r="A39" s="902"/>
      <c r="B39" s="903"/>
      <c r="C39" s="1352" t="s">
        <v>273</v>
      </c>
      <c r="D39" s="1353"/>
      <c r="E39" s="316"/>
      <c r="F39" s="317"/>
      <c r="G39" s="318" t="str">
        <f>IF(MIN(G6:G36)=0,"",MIN(G6:G36))</f>
        <v/>
      </c>
      <c r="H39" s="319"/>
      <c r="I39" s="317"/>
      <c r="J39" s="318" t="str">
        <f>IF(MIN(J6:J36)=0,"",MIN(J6:J36))</f>
        <v/>
      </c>
      <c r="K39" s="319"/>
      <c r="L39" s="317"/>
      <c r="M39" s="318" t="str">
        <f>IF(MIN(M6:M36)=0,"",MIN(M6:M36))</f>
        <v/>
      </c>
      <c r="N39" s="319"/>
      <c r="O39" s="317"/>
      <c r="P39" s="320" t="str">
        <f>IF(MIN(P6:P36)=0,"",MIN(P6:P36))</f>
        <v/>
      </c>
      <c r="Q39" s="919"/>
      <c r="R39" s="911"/>
      <c r="S39" s="911"/>
      <c r="T39" s="689"/>
      <c r="U39" s="689"/>
      <c r="AZ39" s="153"/>
      <c r="BG39" s="688"/>
      <c r="BO39" s="154"/>
      <c r="BW39" s="119"/>
      <c r="BX39" s="155"/>
      <c r="BY39" s="155"/>
      <c r="BZ39" s="155"/>
      <c r="CA39" s="155"/>
      <c r="CB39" s="156"/>
      <c r="CC39" s="156"/>
      <c r="CD39" s="156"/>
      <c r="CE39" s="156"/>
      <c r="CF39" s="156"/>
      <c r="CG39" s="156"/>
      <c r="CH39" s="156"/>
      <c r="CI39" s="156"/>
      <c r="CJ39" s="120"/>
      <c r="CK39" s="121"/>
      <c r="CL39" s="121"/>
      <c r="CM39" s="121"/>
      <c r="CN39" s="121"/>
      <c r="CO39" s="121"/>
      <c r="CP39" s="121"/>
      <c r="CQ39" s="121"/>
      <c r="CR39" s="121"/>
      <c r="CS39" s="121"/>
      <c r="CT39" s="121"/>
      <c r="CU39" s="157"/>
      <c r="CV39" s="121"/>
      <c r="CW39" s="121"/>
      <c r="CX39" s="121"/>
    </row>
    <row r="40" spans="1:102" s="91" customFormat="1" ht="25.15" customHeight="1" thickBot="1">
      <c r="A40" s="901" t="s">
        <v>274</v>
      </c>
      <c r="B40" s="406">
        <f>OperDays</f>
        <v>0</v>
      </c>
      <c r="C40" s="1357" t="s">
        <v>275</v>
      </c>
      <c r="D40" s="1358"/>
      <c r="E40" s="321"/>
      <c r="F40" s="322">
        <f t="shared" ref="F40:P40" si="3">COUNTIF(F6:F36, "&gt;0")</f>
        <v>0</v>
      </c>
      <c r="G40" s="323">
        <f t="shared" si="3"/>
        <v>0</v>
      </c>
      <c r="H40" s="324"/>
      <c r="I40" s="322">
        <f t="shared" si="3"/>
        <v>0</v>
      </c>
      <c r="J40" s="323">
        <f t="shared" si="3"/>
        <v>0</v>
      </c>
      <c r="K40" s="324"/>
      <c r="L40" s="322">
        <f t="shared" si="3"/>
        <v>0</v>
      </c>
      <c r="M40" s="323">
        <f t="shared" si="3"/>
        <v>0</v>
      </c>
      <c r="N40" s="324"/>
      <c r="O40" s="322">
        <f t="shared" si="3"/>
        <v>0</v>
      </c>
      <c r="P40" s="325">
        <f t="shared" si="3"/>
        <v>0</v>
      </c>
      <c r="Q40" s="920"/>
      <c r="R40" s="920"/>
      <c r="S40" s="837"/>
    </row>
    <row r="41" spans="1:102" s="91" customFormat="1" ht="24.75" customHeight="1" thickBot="1">
      <c r="A41" s="435"/>
      <c r="B41" s="1359" t="s">
        <v>276</v>
      </c>
      <c r="C41" s="1359"/>
      <c r="D41" s="1360"/>
      <c r="E41" s="326"/>
      <c r="F41" s="327">
        <f>COUNTIF(F6:F36, "&lt;0.5")</f>
        <v>0</v>
      </c>
      <c r="G41" s="328">
        <f>COUNTIF(G6:G36, "&lt;0.2")</f>
        <v>0</v>
      </c>
      <c r="H41" s="329"/>
      <c r="I41" s="327">
        <f>COUNTIF(I6:I36, "&lt;0.5")</f>
        <v>0</v>
      </c>
      <c r="J41" s="328">
        <f>COUNTIF(J6:J36, "&lt;0.2")</f>
        <v>0</v>
      </c>
      <c r="K41" s="329"/>
      <c r="L41" s="327">
        <f>COUNTIF(L6:L36, "&lt;0.5")</f>
        <v>0</v>
      </c>
      <c r="M41" s="328">
        <f>COUNTIF(M6:M36, "&lt;0.2")</f>
        <v>0</v>
      </c>
      <c r="N41" s="329"/>
      <c r="O41" s="327">
        <f>COUNTIF(O6:O36, "&lt;0.5")</f>
        <v>0</v>
      </c>
      <c r="P41" s="330">
        <f>COUNTIF(P6:P36, "&lt;0.2")</f>
        <v>0</v>
      </c>
      <c r="Q41" s="920"/>
      <c r="R41" s="920"/>
      <c r="S41" s="837"/>
    </row>
    <row r="42" spans="1:102" ht="26.1" customHeight="1">
      <c r="A42" s="1342" t="s">
        <v>277</v>
      </c>
      <c r="B42" s="1343"/>
      <c r="C42" s="1343"/>
      <c r="D42" s="1344"/>
      <c r="E42" s="480">
        <f>+G40+J40+M40+P40</f>
        <v>0</v>
      </c>
      <c r="F42" s="1356" t="s">
        <v>278</v>
      </c>
      <c r="G42" s="1354"/>
      <c r="H42" s="1354"/>
      <c r="I42" s="1354"/>
      <c r="J42" s="481">
        <f>MIN(F39:P39)</f>
        <v>0</v>
      </c>
      <c r="K42" s="482"/>
      <c r="L42" s="1354" t="s">
        <v>279</v>
      </c>
      <c r="M42" s="1354"/>
      <c r="N42" s="1354"/>
      <c r="O42" s="1355"/>
      <c r="P42" s="483">
        <f>G41+J41+M41+P41</f>
        <v>0</v>
      </c>
      <c r="Q42" s="921"/>
      <c r="R42" s="921"/>
      <c r="S42" s="791"/>
    </row>
    <row r="43" spans="1:102" ht="26.1" customHeight="1">
      <c r="A43" s="1345" t="s">
        <v>280</v>
      </c>
      <c r="B43" s="1346"/>
      <c r="C43" s="1346"/>
      <c r="D43" s="1347"/>
      <c r="E43" s="484">
        <f>+F40+I40+L40+O40</f>
        <v>0</v>
      </c>
      <c r="F43" s="1345" t="s">
        <v>281</v>
      </c>
      <c r="G43" s="1346"/>
      <c r="H43" s="1346"/>
      <c r="I43" s="1346"/>
      <c r="J43" s="485">
        <f>MIN(F38:P38)</f>
        <v>0</v>
      </c>
      <c r="K43" s="486"/>
      <c r="L43" s="1346" t="s">
        <v>282</v>
      </c>
      <c r="M43" s="1346"/>
      <c r="N43" s="1346"/>
      <c r="O43" s="1347"/>
      <c r="P43" s="487">
        <f>F41+I41+L41+O41</f>
        <v>0</v>
      </c>
      <c r="Q43" s="921"/>
      <c r="R43" s="912"/>
      <c r="S43" s="912"/>
      <c r="T43" s="399"/>
      <c r="U43" s="399"/>
      <c r="V43" s="399"/>
    </row>
    <row r="44" spans="1:102" ht="36" customHeight="1">
      <c r="A44" s="1341" t="s">
        <v>283</v>
      </c>
      <c r="B44" s="1341"/>
      <c r="C44" s="1341"/>
      <c r="D44" s="1341"/>
      <c r="E44" s="1341"/>
      <c r="F44" s="1341"/>
      <c r="G44" s="1341"/>
      <c r="H44" s="1341"/>
      <c r="I44" s="1341"/>
      <c r="J44" s="1341"/>
      <c r="K44" s="1341"/>
      <c r="L44" s="1341"/>
      <c r="M44" s="1341"/>
      <c r="N44" s="1341"/>
      <c r="O44" s="1341"/>
      <c r="P44" s="1341"/>
      <c r="Q44" s="921"/>
      <c r="R44" s="913"/>
      <c r="S44" s="913"/>
      <c r="T44" s="737"/>
      <c r="U44" s="737"/>
      <c r="V44" s="737"/>
    </row>
    <row r="45" spans="1:102" ht="15.75" customHeight="1">
      <c r="A45" s="791"/>
      <c r="B45" s="916" t="str">
        <f>IF(P42&gt;0.05,"More than 5% of the samples are below 0.2 mg/L"," ")</f>
        <v xml:space="preserve"> </v>
      </c>
      <c r="C45" s="791"/>
      <c r="D45" s="791"/>
      <c r="E45" s="791"/>
      <c r="F45" s="791"/>
      <c r="G45" s="917"/>
      <c r="H45" s="917"/>
      <c r="I45" s="916" t="str">
        <f>IF(P43&gt;0.05,"More than 5% of the samples are below 0.5 mg/L"," ")</f>
        <v xml:space="preserve"> </v>
      </c>
      <c r="J45" s="867"/>
      <c r="K45" s="867"/>
      <c r="L45" s="873"/>
      <c r="M45" s="867"/>
      <c r="N45" s="867"/>
      <c r="O45" s="867"/>
      <c r="P45" s="867"/>
      <c r="Q45" s="918"/>
      <c r="R45" s="918"/>
      <c r="S45" s="918"/>
      <c r="T45" s="915"/>
      <c r="U45" s="915"/>
      <c r="V45" s="915"/>
    </row>
    <row r="46" spans="1:102" ht="15.75" customHeight="1">
      <c r="A46" s="647" t="s">
        <v>126</v>
      </c>
      <c r="B46" s="431"/>
      <c r="C46" s="431"/>
      <c r="D46" s="431"/>
      <c r="E46" s="431"/>
      <c r="F46" s="431"/>
      <c r="G46" s="431"/>
      <c r="H46" s="194"/>
      <c r="I46" s="130"/>
      <c r="J46" s="130"/>
      <c r="K46" s="130"/>
      <c r="L46" s="130"/>
      <c r="M46" s="130"/>
      <c r="N46" s="130"/>
      <c r="O46" s="130"/>
      <c r="P46" s="130"/>
      <c r="Q46" s="915"/>
      <c r="R46" s="915"/>
      <c r="S46" s="915"/>
      <c r="T46" s="915"/>
      <c r="U46" s="915"/>
      <c r="V46" s="915"/>
    </row>
    <row r="47" spans="1:102" ht="15.75" customHeight="1">
      <c r="A47" s="139" t="s">
        <v>208</v>
      </c>
      <c r="B47" t="s">
        <v>284</v>
      </c>
      <c r="C47" s="431"/>
      <c r="D47" s="431"/>
      <c r="E47" s="431"/>
      <c r="F47" s="431"/>
      <c r="G47" s="431"/>
      <c r="H47" s="194"/>
      <c r="I47" s="16"/>
      <c r="J47" s="36"/>
      <c r="K47" s="36"/>
      <c r="L47" s="16"/>
      <c r="M47" s="37"/>
      <c r="N47" s="37"/>
      <c r="O47" s="116"/>
      <c r="P47" s="116"/>
      <c r="Q47" s="914"/>
      <c r="R47" s="915"/>
      <c r="S47" s="915"/>
      <c r="T47" s="915"/>
      <c r="U47" s="915"/>
      <c r="V47" s="915"/>
    </row>
    <row r="48" spans="1:102" ht="15.75" customHeight="1">
      <c r="A48" s="139"/>
      <c r="B48" s="116" t="s">
        <v>285</v>
      </c>
      <c r="C48" s="431"/>
      <c r="D48" s="431"/>
      <c r="E48" s="431"/>
      <c r="F48" s="431"/>
      <c r="G48" s="431"/>
      <c r="H48" s="194"/>
      <c r="I48" s="16"/>
      <c r="J48" s="36"/>
      <c r="K48" s="36"/>
      <c r="L48" s="16"/>
      <c r="M48" s="116"/>
      <c r="N48" s="116"/>
      <c r="O48" s="116"/>
      <c r="P48" s="116"/>
      <c r="Q48" s="915"/>
      <c r="R48" s="915"/>
      <c r="S48" s="915"/>
      <c r="T48" s="915"/>
      <c r="U48" s="915"/>
      <c r="V48" s="915"/>
    </row>
    <row r="49" spans="1:17" ht="14.25" customHeight="1">
      <c r="A49" s="139" t="s">
        <v>256</v>
      </c>
      <c r="B49" t="s">
        <v>286</v>
      </c>
      <c r="C49" s="431"/>
      <c r="D49" s="431"/>
      <c r="E49" s="431"/>
      <c r="F49" s="431"/>
      <c r="G49" s="431"/>
      <c r="H49" s="194"/>
      <c r="I49" s="16"/>
      <c r="J49" s="36"/>
      <c r="K49" s="36"/>
      <c r="L49" s="16"/>
      <c r="M49" s="38"/>
      <c r="N49" s="38"/>
      <c r="O49" s="38"/>
      <c r="P49" s="116"/>
    </row>
    <row r="50" spans="1:17" ht="15" customHeight="1">
      <c r="B50" t="s">
        <v>287</v>
      </c>
      <c r="C50" s="116"/>
      <c r="D50" s="16"/>
      <c r="E50" s="16"/>
      <c r="F50" s="16"/>
      <c r="G50" s="16"/>
      <c r="H50" s="16"/>
      <c r="I50" s="16"/>
      <c r="J50" s="16"/>
      <c r="K50" s="16"/>
      <c r="L50" s="16"/>
      <c r="M50" s="116"/>
      <c r="N50" s="116"/>
      <c r="O50" s="116"/>
      <c r="P50" s="116"/>
      <c r="Q50" s="263"/>
    </row>
    <row r="51" spans="1:17" ht="15" customHeight="1">
      <c r="C51" s="116"/>
      <c r="D51" s="16"/>
      <c r="E51" s="16"/>
      <c r="F51" s="16"/>
      <c r="G51" s="16"/>
      <c r="H51" s="16"/>
      <c r="I51" s="16"/>
      <c r="J51" s="116"/>
      <c r="K51" s="116"/>
      <c r="L51" s="16"/>
      <c r="M51" s="116"/>
      <c r="N51" s="116"/>
      <c r="O51" s="116"/>
      <c r="P51" s="116"/>
    </row>
    <row r="57" spans="1:17">
      <c r="Q57" s="263"/>
    </row>
  </sheetData>
  <sheetProtection algorithmName="SHA-512" hashValue="6yFvqw62lTiej9ubGaJElQ+BoJtjY/oYS8ge2MTU3/b8i8DCtIqWvOQpSrWrmSv05FM6hBNqjwtiwIDF2alTsQ==" saltValue="fn3Uo8xnqABlF242dsZhNw==" spinCount="100000" sheet="1" insertColumns="0" deleteColumns="0" deleteRows="0" selectLockedCells="1"/>
  <mergeCells count="22">
    <mergeCell ref="A44:P44"/>
    <mergeCell ref="A42:D42"/>
    <mergeCell ref="A43:D43"/>
    <mergeCell ref="C37:D37"/>
    <mergeCell ref="C38:D38"/>
    <mergeCell ref="C39:D39"/>
    <mergeCell ref="L42:O42"/>
    <mergeCell ref="F42:I42"/>
    <mergeCell ref="C40:D40"/>
    <mergeCell ref="L43:O43"/>
    <mergeCell ref="F43:I43"/>
    <mergeCell ref="B41:D41"/>
    <mergeCell ref="E2:P2"/>
    <mergeCell ref="B1:M1"/>
    <mergeCell ref="E3:P3"/>
    <mergeCell ref="Q3:Q5"/>
    <mergeCell ref="R3:R5"/>
    <mergeCell ref="B2:C4"/>
    <mergeCell ref="K4:M4"/>
    <mergeCell ref="N4:P4"/>
    <mergeCell ref="E4:G4"/>
    <mergeCell ref="H4:J4"/>
  </mergeCells>
  <phoneticPr fontId="0" type="noConversion"/>
  <conditionalFormatting sqref="B40">
    <cfRule type="expression" dxfId="41" priority="3">
      <formula>isblank</formula>
    </cfRule>
    <cfRule type="cellIs" dxfId="40" priority="4" operator="lessThan">
      <formula>1</formula>
    </cfRule>
  </conditionalFormatting>
  <conditionalFormatting sqref="E6:P36">
    <cfRule type="expression" dxfId="39" priority="6" stopIfTrue="1">
      <formula>LEN($F6&amp;$G6&amp;$I6&amp;$J6&amp;$L6&amp;$M6&amp;$O6&amp;$P6)=0</formula>
    </cfRule>
  </conditionalFormatting>
  <conditionalFormatting sqref="F6:F36 I6:I36 L6:L36 O6:O36">
    <cfRule type="cellIs" dxfId="38" priority="8" operator="notBetween">
      <formula>0.5</formula>
      <formula>3.99</formula>
    </cfRule>
  </conditionalFormatting>
  <conditionalFormatting sqref="F6:G36">
    <cfRule type="containsBlanks" priority="7" stopIfTrue="1">
      <formula>LEN(TRIM(F6))=0</formula>
    </cfRule>
  </conditionalFormatting>
  <conditionalFormatting sqref="G6:G36 J6:J36 M6:M36 P6:P36">
    <cfRule type="cellIs" dxfId="37" priority="1" operator="notBetween">
      <formula>0.2</formula>
      <formula>3.99</formula>
    </cfRule>
  </conditionalFormatting>
  <conditionalFormatting sqref="P48">
    <cfRule type="cellIs" dxfId="36" priority="34" operator="equal">
      <formula>#DIV/0!</formula>
    </cfRule>
  </conditionalFormatting>
  <conditionalFormatting sqref="Q6:R36">
    <cfRule type="cellIs" dxfId="35" priority="11" operator="equal">
      <formula>0</formula>
    </cfRule>
  </conditionalFormatting>
  <conditionalFormatting sqref="Q45:V46">
    <cfRule type="containsErrors" dxfId="34" priority="32">
      <formula>ISERROR(Q45)</formula>
    </cfRule>
    <cfRule type="cellIs" dxfId="33" priority="33" operator="equal">
      <formula>#DIV/0!</formula>
    </cfRule>
  </conditionalFormatting>
  <hyperlinks>
    <hyperlink ref="A1" location="Bookmarks!A1" display="Return to Bookmarks" xr:uid="{9F5FDC3A-7C8B-4B80-851C-EF404F5D0EE2}"/>
  </hyperlinks>
  <printOptions horizontalCentered="1" verticalCentered="1"/>
  <pageMargins left="1.25" right="0.25" top="0.75" bottom="0.5" header="0.5" footer="0"/>
  <pageSetup scale="61" fitToHeight="0" orientation="portrait" r:id="rId1"/>
  <headerFooter alignWithMargins="0">
    <oddHeader>&amp;LMonthly Operating Report
Disinfectant Residual</oddHeader>
  </headerFooter>
  <ignoredErrors>
    <ignoredError sqref="G41 J41 M4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pageSetUpPr fitToPage="1"/>
  </sheetPr>
  <dimension ref="A1:W90"/>
  <sheetViews>
    <sheetView showGridLines="0" zoomScale="80" zoomScaleNormal="80" zoomScalePageLayoutView="30" workbookViewId="0">
      <selection activeCell="B4" sqref="B4"/>
    </sheetView>
  </sheetViews>
  <sheetFormatPr defaultColWidth="9" defaultRowHeight="12.75"/>
  <cols>
    <col min="1" max="1" width="11.140625" customWidth="1"/>
    <col min="2" max="3" width="9.7109375" style="116" customWidth="1"/>
    <col min="4" max="4" width="14.7109375" customWidth="1"/>
    <col min="5" max="5" width="10.7109375" customWidth="1"/>
    <col min="6" max="6" width="9.7109375" customWidth="1"/>
    <col min="7" max="7" width="14.7109375" customWidth="1"/>
    <col min="8" max="8" width="10.7109375" customWidth="1"/>
    <col min="9" max="9" width="1.42578125" customWidth="1"/>
    <col min="10" max="10" width="11" customWidth="1"/>
    <col min="11" max="13" width="16.5703125" customWidth="1"/>
    <col min="14" max="14" width="12.7109375" customWidth="1"/>
    <col min="15" max="15" width="13.140625" customWidth="1"/>
    <col min="16" max="16" width="1.85546875" customWidth="1"/>
    <col min="23" max="23" width="0" hidden="1" customWidth="1"/>
  </cols>
  <sheetData>
    <row r="1" spans="1:23" ht="27.75" customHeight="1" thickBot="1">
      <c r="A1" s="1083" t="s">
        <v>730</v>
      </c>
      <c r="B1" s="513"/>
      <c r="C1" s="513"/>
      <c r="D1" s="242" t="s">
        <v>288</v>
      </c>
      <c r="E1" s="178"/>
      <c r="F1" s="178"/>
      <c r="G1" s="178"/>
      <c r="H1" s="178"/>
      <c r="I1" s="178"/>
      <c r="J1" s="178"/>
      <c r="K1" s="178"/>
      <c r="L1" s="178"/>
      <c r="M1" s="178"/>
      <c r="N1" s="243"/>
      <c r="O1" s="791"/>
      <c r="P1" s="791"/>
    </row>
    <row r="2" spans="1:23" ht="30.6" customHeight="1">
      <c r="A2" s="1394" t="s">
        <v>58</v>
      </c>
      <c r="B2" s="1392" t="s">
        <v>289</v>
      </c>
      <c r="C2" s="1393"/>
      <c r="D2" s="1389" t="s">
        <v>290</v>
      </c>
      <c r="E2" s="1390"/>
      <c r="F2" s="1390"/>
      <c r="G2" s="1390"/>
      <c r="H2" s="1391"/>
      <c r="I2" s="791"/>
      <c r="J2" s="1368" t="s">
        <v>291</v>
      </c>
      <c r="K2" s="1369"/>
      <c r="L2" s="1369"/>
      <c r="M2" s="1369"/>
      <c r="N2" s="1370"/>
      <c r="O2" s="937" t="s">
        <v>125</v>
      </c>
      <c r="P2" s="791"/>
    </row>
    <row r="3" spans="1:23" ht="46.5" customHeight="1" thickBot="1">
      <c r="A3" s="1395"/>
      <c r="B3" s="923" t="s">
        <v>292</v>
      </c>
      <c r="C3" s="924" t="s">
        <v>78</v>
      </c>
      <c r="D3" s="925" t="s">
        <v>293</v>
      </c>
      <c r="E3" s="926" t="s">
        <v>294</v>
      </c>
      <c r="F3" s="927" t="s">
        <v>58</v>
      </c>
      <c r="G3" s="925" t="s">
        <v>295</v>
      </c>
      <c r="H3" s="928" t="s">
        <v>296</v>
      </c>
      <c r="I3" s="935"/>
      <c r="J3" s="1371" t="s">
        <v>297</v>
      </c>
      <c r="K3" s="1372"/>
      <c r="L3" s="1372"/>
      <c r="M3" s="1372"/>
      <c r="N3" s="1373"/>
      <c r="O3" s="757" t="s">
        <v>658</v>
      </c>
      <c r="P3" s="938"/>
      <c r="Q3" s="753"/>
      <c r="R3" s="753"/>
      <c r="S3" s="753"/>
    </row>
    <row r="4" spans="1:23" ht="28.15" customHeight="1" thickBot="1">
      <c r="A4" s="287">
        <v>1</v>
      </c>
      <c r="B4" s="539"/>
      <c r="C4" s="945" t="str">
        <f>IF((B4=0),"",((B4/('P1 Chemicals'!B8/1000000))/8.34))</f>
        <v/>
      </c>
      <c r="D4" s="514"/>
      <c r="E4" s="738" t="str">
        <f>IF(D4&gt;0.8, "Y", "")</f>
        <v/>
      </c>
      <c r="F4" s="287">
        <v>1</v>
      </c>
      <c r="G4" s="180"/>
      <c r="H4" s="741" t="str">
        <f>IF(G4&gt;1, "Y", "")</f>
        <v/>
      </c>
      <c r="I4" s="936"/>
      <c r="J4" s="929" t="s">
        <v>298</v>
      </c>
      <c r="K4" s="930" t="s">
        <v>299</v>
      </c>
      <c r="L4" s="930" t="s">
        <v>300</v>
      </c>
      <c r="M4" s="930" t="s">
        <v>301</v>
      </c>
      <c r="N4" s="931" t="s">
        <v>294</v>
      </c>
      <c r="O4" s="758" t="str">
        <f>IF(ISBLANK('P2 Water Quality'!AB5),"",(IF('P2 Water Quality'!AB5&gt;0.5,1/(0.001506*(1.09116^'P2 Water Quality'!AB5)),637)))</f>
        <v/>
      </c>
      <c r="P4" s="791"/>
    </row>
    <row r="5" spans="1:23" ht="25.15" customHeight="1">
      <c r="A5" s="288">
        <v>2</v>
      </c>
      <c r="B5" s="540"/>
      <c r="C5" s="945" t="str">
        <f>IF((B5=0),"",((B5/('P1 Chemicals'!B9/1000000))/8.34))</f>
        <v/>
      </c>
      <c r="D5" s="140"/>
      <c r="E5" s="739" t="str">
        <f t="shared" ref="E5:E34" si="0">IF(D5&gt;0.8, "Y", "")</f>
        <v/>
      </c>
      <c r="F5" s="288">
        <v>2</v>
      </c>
      <c r="G5" s="140"/>
      <c r="H5" s="742" t="str">
        <f t="shared" ref="H5:H34" si="1">IF(G5&gt;1, "Y", "")</f>
        <v/>
      </c>
      <c r="I5" s="936"/>
      <c r="J5" s="179"/>
      <c r="K5" s="180"/>
      <c r="L5" s="180"/>
      <c r="M5" s="180"/>
      <c r="N5" s="181" t="str">
        <f>IF(OR(K5&gt;0.8,L5&gt;0.8,M5&gt;0.8),"Y"," ")</f>
        <v xml:space="preserve"> </v>
      </c>
      <c r="O5" s="759" t="str">
        <f>IF(ISBLANK('P2 Water Quality'!AB6),"",(IF('P2 Water Quality'!AB6&gt;0.5,1/(0.001506*(1.09116^'P2 Water Quality'!AB6)),637)))</f>
        <v/>
      </c>
      <c r="P5" s="791"/>
      <c r="W5" s="97" t="str">
        <f t="shared" ref="W5:W34" si="2">IF(AND(D4&gt;0.8,D5&gt;0.8),D5,"")</f>
        <v/>
      </c>
    </row>
    <row r="6" spans="1:23" ht="25.15" customHeight="1">
      <c r="A6" s="289">
        <v>3</v>
      </c>
      <c r="B6" s="540"/>
      <c r="C6" s="945" t="str">
        <f>IF((B6=0),"",((B6/('P1 Chemicals'!B10/1000000))/8.34))</f>
        <v/>
      </c>
      <c r="D6" s="140"/>
      <c r="E6" s="739" t="str">
        <f t="shared" si="0"/>
        <v/>
      </c>
      <c r="F6" s="289">
        <v>3</v>
      </c>
      <c r="G6" s="140"/>
      <c r="H6" s="742" t="str">
        <f t="shared" si="1"/>
        <v/>
      </c>
      <c r="I6" s="936"/>
      <c r="J6" s="182"/>
      <c r="K6" s="183"/>
      <c r="L6" s="183"/>
      <c r="M6" s="183"/>
      <c r="N6" s="184" t="str">
        <f t="shared" ref="N6:N17" si="3">IF(OR(K6&gt;0.8,L6&gt;0.8,M6&gt;0.8),"Y"," ")</f>
        <v xml:space="preserve"> </v>
      </c>
      <c r="O6" s="759" t="str">
        <f>IF(ISBLANK('P2 Water Quality'!AB7),"",(IF('P2 Water Quality'!AB7&gt;0.5,1/(0.001506*(1.09116^'P2 Water Quality'!AB7)),637)))</f>
        <v/>
      </c>
      <c r="P6" s="791"/>
      <c r="W6" s="98" t="str">
        <f t="shared" si="2"/>
        <v/>
      </c>
    </row>
    <row r="7" spans="1:23" ht="25.15" customHeight="1">
      <c r="A7" s="289">
        <v>4</v>
      </c>
      <c r="B7" s="540"/>
      <c r="C7" s="945" t="str">
        <f>IF((B7=0),"",((B7/('P1 Chemicals'!B11/1000000))/8.34))</f>
        <v/>
      </c>
      <c r="D7" s="140"/>
      <c r="E7" s="739" t="str">
        <f t="shared" si="0"/>
        <v/>
      </c>
      <c r="F7" s="289">
        <v>4</v>
      </c>
      <c r="G7" s="140"/>
      <c r="H7" s="742" t="str">
        <f t="shared" si="1"/>
        <v/>
      </c>
      <c r="I7" s="936"/>
      <c r="J7" s="182"/>
      <c r="K7" s="183"/>
      <c r="L7" s="183"/>
      <c r="M7" s="183"/>
      <c r="N7" s="184" t="str">
        <f t="shared" si="3"/>
        <v xml:space="preserve"> </v>
      </c>
      <c r="O7" s="759" t="str">
        <f>IF(ISBLANK('P2 Water Quality'!AB8),"",(IF('P2 Water Quality'!AB8&gt;0.5,1/(0.001506*(1.09116^'P2 Water Quality'!AB8)),637)))</f>
        <v/>
      </c>
      <c r="P7" s="791"/>
      <c r="W7" s="98" t="str">
        <f t="shared" si="2"/>
        <v/>
      </c>
    </row>
    <row r="8" spans="1:23" ht="25.15" customHeight="1">
      <c r="A8" s="289">
        <v>5</v>
      </c>
      <c r="B8" s="540"/>
      <c r="C8" s="945" t="str">
        <f>IF((B8=0),"",((B8/('P1 Chemicals'!B12/1000000))/8.34))</f>
        <v/>
      </c>
      <c r="D8" s="140"/>
      <c r="E8" s="739" t="str">
        <f t="shared" si="0"/>
        <v/>
      </c>
      <c r="F8" s="289">
        <v>5</v>
      </c>
      <c r="G8" s="140"/>
      <c r="H8" s="742" t="str">
        <f t="shared" si="1"/>
        <v/>
      </c>
      <c r="I8" s="936"/>
      <c r="J8" s="182"/>
      <c r="K8" s="183"/>
      <c r="L8" s="183"/>
      <c r="M8" s="183"/>
      <c r="N8" s="184" t="str">
        <f t="shared" si="3"/>
        <v xml:space="preserve"> </v>
      </c>
      <c r="O8" s="759" t="str">
        <f>IF(ISBLANK('P2 Water Quality'!AB9),"",(IF('P2 Water Quality'!AB9&gt;0.5,1/(0.001506*(1.09116^'P2 Water Quality'!AB9)),637)))</f>
        <v/>
      </c>
      <c r="P8" s="791"/>
      <c r="W8" s="98" t="str">
        <f t="shared" si="2"/>
        <v/>
      </c>
    </row>
    <row r="9" spans="1:23" ht="25.15" customHeight="1">
      <c r="A9" s="289">
        <v>6</v>
      </c>
      <c r="B9" s="540"/>
      <c r="C9" s="945" t="str">
        <f>IF((B9=0),"",((B9/('P1 Chemicals'!B13/1000000))/8.34))</f>
        <v/>
      </c>
      <c r="D9" s="140"/>
      <c r="E9" s="739" t="str">
        <f t="shared" si="0"/>
        <v/>
      </c>
      <c r="F9" s="289">
        <v>6</v>
      </c>
      <c r="G9" s="140"/>
      <c r="H9" s="742" t="str">
        <f t="shared" si="1"/>
        <v/>
      </c>
      <c r="I9" s="936"/>
      <c r="J9" s="182"/>
      <c r="K9" s="183"/>
      <c r="L9" s="183"/>
      <c r="M9" s="183"/>
      <c r="N9" s="184" t="str">
        <f t="shared" si="3"/>
        <v xml:space="preserve"> </v>
      </c>
      <c r="O9" s="759" t="str">
        <f>IF(ISBLANK('P2 Water Quality'!AB10),"",(IF('P2 Water Quality'!AB10&gt;0.5,1/(0.001506*(1.09116^'P2 Water Quality'!AB10)),637)))</f>
        <v/>
      </c>
      <c r="P9" s="791"/>
      <c r="W9" s="98" t="str">
        <f t="shared" si="2"/>
        <v/>
      </c>
    </row>
    <row r="10" spans="1:23" ht="25.15" customHeight="1">
      <c r="A10" s="289">
        <v>7</v>
      </c>
      <c r="B10" s="540"/>
      <c r="C10" s="945" t="str">
        <f>IF((B10=0),"",((B10/('P1 Chemicals'!B14/1000000))/8.34))</f>
        <v/>
      </c>
      <c r="D10" s="140"/>
      <c r="E10" s="739" t="str">
        <f t="shared" si="0"/>
        <v/>
      </c>
      <c r="F10" s="289">
        <v>7</v>
      </c>
      <c r="G10" s="140"/>
      <c r="H10" s="742" t="str">
        <f t="shared" si="1"/>
        <v/>
      </c>
      <c r="I10" s="936"/>
      <c r="J10" s="182"/>
      <c r="K10" s="183"/>
      <c r="L10" s="183"/>
      <c r="M10" s="183"/>
      <c r="N10" s="184" t="str">
        <f t="shared" si="3"/>
        <v xml:space="preserve"> </v>
      </c>
      <c r="O10" s="759" t="str">
        <f>IF(ISBLANK('P2 Water Quality'!AB11),"",(IF('P2 Water Quality'!AB11&gt;0.5,1/(0.001506*(1.09116^'P2 Water Quality'!AB11)),637)))</f>
        <v/>
      </c>
      <c r="P10" s="791"/>
      <c r="W10" s="98" t="str">
        <f t="shared" si="2"/>
        <v/>
      </c>
    </row>
    <row r="11" spans="1:23" ht="25.15" customHeight="1">
      <c r="A11" s="289">
        <v>8</v>
      </c>
      <c r="B11" s="540"/>
      <c r="C11" s="945" t="str">
        <f>IF((B11=0),"",((B11/('P1 Chemicals'!B15/1000000))/8.34))</f>
        <v/>
      </c>
      <c r="D11" s="140"/>
      <c r="E11" s="739" t="str">
        <f t="shared" si="0"/>
        <v/>
      </c>
      <c r="F11" s="289">
        <v>8</v>
      </c>
      <c r="G11" s="140"/>
      <c r="H11" s="742" t="str">
        <f t="shared" si="1"/>
        <v/>
      </c>
      <c r="I11" s="936"/>
      <c r="J11" s="182"/>
      <c r="K11" s="183"/>
      <c r="L11" s="183"/>
      <c r="M11" s="183"/>
      <c r="N11" s="184" t="str">
        <f>IF(OR(K11&gt;0.8,L11&gt;0.8,M11&gt;0.8),"Y"," ")</f>
        <v xml:space="preserve"> </v>
      </c>
      <c r="O11" s="759" t="str">
        <f>IF(ISBLANK('P2 Water Quality'!AB12),"",(IF('P2 Water Quality'!AB12&gt;0.5,1/(0.001506*(1.09116^'P2 Water Quality'!AB12)),637)))</f>
        <v/>
      </c>
      <c r="P11" s="791"/>
      <c r="W11" s="98" t="str">
        <f t="shared" si="2"/>
        <v/>
      </c>
    </row>
    <row r="12" spans="1:23" ht="25.15" customHeight="1">
      <c r="A12" s="289">
        <v>9</v>
      </c>
      <c r="B12" s="540"/>
      <c r="C12" s="945" t="str">
        <f>IF((B12=0),"",((B12/('P1 Chemicals'!B16/1000000))/8.34))</f>
        <v/>
      </c>
      <c r="D12" s="140"/>
      <c r="E12" s="739" t="str">
        <f t="shared" si="0"/>
        <v/>
      </c>
      <c r="F12" s="289">
        <v>9</v>
      </c>
      <c r="G12" s="140"/>
      <c r="H12" s="742" t="str">
        <f t="shared" si="1"/>
        <v/>
      </c>
      <c r="I12" s="936"/>
      <c r="J12" s="182"/>
      <c r="K12" s="183"/>
      <c r="L12" s="183"/>
      <c r="M12" s="183"/>
      <c r="N12" s="184" t="str">
        <f>IF(OR(K12&gt;0.8,L12&gt;0.8,M12&gt;0.8),"Y"," ")</f>
        <v xml:space="preserve"> </v>
      </c>
      <c r="O12" s="759" t="str">
        <f>IF(ISBLANK('P2 Water Quality'!AB13),"",(IF('P2 Water Quality'!AB13&gt;0.5,1/(0.001506*(1.09116^'P2 Water Quality'!AB13)),637)))</f>
        <v/>
      </c>
      <c r="P12" s="791"/>
      <c r="W12" s="98" t="str">
        <f t="shared" si="2"/>
        <v/>
      </c>
    </row>
    <row r="13" spans="1:23" ht="25.15" customHeight="1">
      <c r="A13" s="288">
        <v>10</v>
      </c>
      <c r="B13" s="540"/>
      <c r="C13" s="945" t="str">
        <f>IF((B13=0),"",((B13/('P1 Chemicals'!B17/1000000))/8.34))</f>
        <v/>
      </c>
      <c r="D13" s="140"/>
      <c r="E13" s="739" t="str">
        <f t="shared" si="0"/>
        <v/>
      </c>
      <c r="F13" s="288">
        <v>10</v>
      </c>
      <c r="G13" s="140"/>
      <c r="H13" s="742" t="str">
        <f t="shared" si="1"/>
        <v/>
      </c>
      <c r="I13" s="936"/>
      <c r="J13" s="182"/>
      <c r="K13" s="183"/>
      <c r="L13" s="183"/>
      <c r="M13" s="183"/>
      <c r="N13" s="184" t="str">
        <f t="shared" si="3"/>
        <v xml:space="preserve"> </v>
      </c>
      <c r="O13" s="759" t="str">
        <f>IF(ISBLANK('P2 Water Quality'!AB14),"",(IF('P2 Water Quality'!AB14&gt;0.5,1/(0.001506*(1.09116^'P2 Water Quality'!AB14)),637)))</f>
        <v/>
      </c>
      <c r="P13" s="791"/>
      <c r="W13" s="98" t="str">
        <f t="shared" si="2"/>
        <v/>
      </c>
    </row>
    <row r="14" spans="1:23" ht="25.15" customHeight="1">
      <c r="A14" s="289">
        <v>11</v>
      </c>
      <c r="B14" s="540"/>
      <c r="C14" s="945" t="str">
        <f>IF((B14=0),"",((B14/('P1 Chemicals'!B18/1000000))/8.34))</f>
        <v/>
      </c>
      <c r="D14" s="140"/>
      <c r="E14" s="739" t="str">
        <f t="shared" si="0"/>
        <v/>
      </c>
      <c r="F14" s="289">
        <v>11</v>
      </c>
      <c r="G14" s="140"/>
      <c r="H14" s="742" t="str">
        <f t="shared" si="1"/>
        <v/>
      </c>
      <c r="I14" s="936"/>
      <c r="J14" s="182"/>
      <c r="K14" s="183"/>
      <c r="L14" s="183"/>
      <c r="M14" s="183"/>
      <c r="N14" s="184" t="str">
        <f t="shared" si="3"/>
        <v xml:space="preserve"> </v>
      </c>
      <c r="O14" s="759" t="str">
        <f>IF(ISBLANK('P2 Water Quality'!AB15),"",(IF('P2 Water Quality'!AB15&gt;0.5,1/(0.001506*(1.09116^'P2 Water Quality'!AB15)),637)))</f>
        <v/>
      </c>
      <c r="P14" s="791"/>
      <c r="W14" s="99" t="str">
        <f t="shared" si="2"/>
        <v/>
      </c>
    </row>
    <row r="15" spans="1:23" ht="25.15" customHeight="1">
      <c r="A15" s="289">
        <v>12</v>
      </c>
      <c r="B15" s="540"/>
      <c r="C15" s="945" t="str">
        <f>IF((B15=0),"",((B15/('P1 Chemicals'!B19/1000000))/8.34))</f>
        <v/>
      </c>
      <c r="D15" s="140"/>
      <c r="E15" s="739" t="str">
        <f t="shared" si="0"/>
        <v/>
      </c>
      <c r="F15" s="289">
        <v>12</v>
      </c>
      <c r="G15" s="140"/>
      <c r="H15" s="742" t="str">
        <f t="shared" si="1"/>
        <v/>
      </c>
      <c r="I15" s="936"/>
      <c r="J15" s="182"/>
      <c r="K15" s="183"/>
      <c r="L15" s="183"/>
      <c r="M15" s="183"/>
      <c r="N15" s="184" t="str">
        <f t="shared" si="3"/>
        <v xml:space="preserve"> </v>
      </c>
      <c r="O15" s="759" t="str">
        <f>IF(ISBLANK('P2 Water Quality'!AB16),"",(IF('P2 Water Quality'!AB16&gt;0.5,1/(0.001506*(1.09116^'P2 Water Quality'!AB16)),637)))</f>
        <v/>
      </c>
      <c r="P15" s="791"/>
      <c r="W15" s="98" t="str">
        <f t="shared" si="2"/>
        <v/>
      </c>
    </row>
    <row r="16" spans="1:23" ht="25.15" customHeight="1">
      <c r="A16" s="289">
        <v>13</v>
      </c>
      <c r="B16" s="540"/>
      <c r="C16" s="945" t="str">
        <f>IF((B16=0),"",((B16/('P1 Chemicals'!B20/1000000))/8.34))</f>
        <v/>
      </c>
      <c r="D16" s="140"/>
      <c r="E16" s="739" t="str">
        <f t="shared" si="0"/>
        <v/>
      </c>
      <c r="F16" s="289">
        <v>13</v>
      </c>
      <c r="G16" s="140"/>
      <c r="H16" s="742" t="str">
        <f t="shared" si="1"/>
        <v/>
      </c>
      <c r="I16" s="936"/>
      <c r="J16" s="182"/>
      <c r="K16" s="183"/>
      <c r="L16" s="183"/>
      <c r="M16" s="183"/>
      <c r="N16" s="184" t="str">
        <f t="shared" si="3"/>
        <v xml:space="preserve"> </v>
      </c>
      <c r="O16" s="759" t="str">
        <f>IF(ISBLANK('P2 Water Quality'!AB17),"",(IF('P2 Water Quality'!AB17&gt;0.5,1/(0.001506*(1.09116^'P2 Water Quality'!AB17)),637)))</f>
        <v/>
      </c>
      <c r="P16" s="791"/>
      <c r="W16" s="98" t="str">
        <f t="shared" si="2"/>
        <v/>
      </c>
    </row>
    <row r="17" spans="1:23" ht="25.15" customHeight="1" thickBot="1">
      <c r="A17" s="289">
        <v>14</v>
      </c>
      <c r="B17" s="540"/>
      <c r="C17" s="945" t="str">
        <f>IF((B17=0),"",((B17/('P1 Chemicals'!B21/1000000))/8.34))</f>
        <v/>
      </c>
      <c r="D17" s="140"/>
      <c r="E17" s="739" t="str">
        <f t="shared" si="0"/>
        <v/>
      </c>
      <c r="F17" s="289">
        <v>14</v>
      </c>
      <c r="G17" s="140"/>
      <c r="H17" s="742" t="str">
        <f t="shared" si="1"/>
        <v/>
      </c>
      <c r="I17" s="936"/>
      <c r="J17" s="185"/>
      <c r="K17" s="141"/>
      <c r="L17" s="141"/>
      <c r="M17" s="141"/>
      <c r="N17" s="186" t="str">
        <f t="shared" si="3"/>
        <v xml:space="preserve"> </v>
      </c>
      <c r="O17" s="759" t="str">
        <f>IF(ISBLANK('P2 Water Quality'!AB18),"",(IF('P2 Water Quality'!AB18&gt;0.5,1/(0.001506*(1.09116^'P2 Water Quality'!AB18)),637)))</f>
        <v/>
      </c>
      <c r="P17" s="791"/>
      <c r="W17" s="98" t="str">
        <f t="shared" si="2"/>
        <v/>
      </c>
    </row>
    <row r="18" spans="1:23" ht="25.15" customHeight="1">
      <c r="A18" s="288">
        <v>15</v>
      </c>
      <c r="B18" s="540"/>
      <c r="C18" s="945" t="str">
        <f>IF((B18=0),"",((B18/('P1 Chemicals'!B22/1000000))/8.34))</f>
        <v/>
      </c>
      <c r="D18" s="140"/>
      <c r="E18" s="739" t="str">
        <f t="shared" si="0"/>
        <v/>
      </c>
      <c r="F18" s="288">
        <v>15</v>
      </c>
      <c r="G18" s="140"/>
      <c r="H18" s="742" t="str">
        <f t="shared" si="1"/>
        <v/>
      </c>
      <c r="I18" s="936"/>
      <c r="J18" s="1374" t="s">
        <v>302</v>
      </c>
      <c r="K18" s="1374"/>
      <c r="L18" s="1374"/>
      <c r="M18" s="1374"/>
      <c r="N18" s="1375"/>
      <c r="O18" s="759" t="str">
        <f>IF(ISBLANK('P2 Water Quality'!AB19),"",(IF('P2 Water Quality'!AB19&gt;0.5,1/(0.001506*(1.09116^'P2 Water Quality'!AB19)),637)))</f>
        <v/>
      </c>
      <c r="P18" s="791"/>
      <c r="W18" s="98" t="str">
        <f t="shared" si="2"/>
        <v/>
      </c>
    </row>
    <row r="19" spans="1:23" ht="25.15" customHeight="1" thickBot="1">
      <c r="A19" s="289">
        <v>16</v>
      </c>
      <c r="B19" s="540"/>
      <c r="C19" s="945" t="str">
        <f>IF((B19=0),"",((B19/('P1 Chemicals'!B23/1000000))/8.34))</f>
        <v/>
      </c>
      <c r="D19" s="140"/>
      <c r="E19" s="739" t="str">
        <f t="shared" si="0"/>
        <v/>
      </c>
      <c r="F19" s="289">
        <v>16</v>
      </c>
      <c r="G19" s="140"/>
      <c r="H19" s="742" t="str">
        <f t="shared" si="1"/>
        <v/>
      </c>
      <c r="I19" s="936"/>
      <c r="J19" s="1376"/>
      <c r="K19" s="1376"/>
      <c r="L19" s="1376"/>
      <c r="M19" s="1376"/>
      <c r="N19" s="1377"/>
      <c r="O19" s="759" t="str">
        <f>IF(ISBLANK('P2 Water Quality'!AB20),"",(IF('P2 Water Quality'!AB20&gt;0.5,1/(0.001506*(1.09116^'P2 Water Quality'!AB20)),637)))</f>
        <v/>
      </c>
      <c r="P19" s="791"/>
      <c r="W19" s="98" t="str">
        <f t="shared" si="2"/>
        <v/>
      </c>
    </row>
    <row r="20" spans="1:23" ht="24.6" customHeight="1">
      <c r="A20" s="289">
        <v>17</v>
      </c>
      <c r="B20" s="540"/>
      <c r="C20" s="945" t="str">
        <f>IF((B20=0),"",((B20/('P1 Chemicals'!B24/1000000))/8.34))</f>
        <v/>
      </c>
      <c r="D20" s="140"/>
      <c r="E20" s="739" t="str">
        <f t="shared" si="0"/>
        <v/>
      </c>
      <c r="F20" s="289">
        <v>17</v>
      </c>
      <c r="G20" s="140"/>
      <c r="H20" s="742" t="str">
        <f t="shared" si="1"/>
        <v/>
      </c>
      <c r="I20" s="936"/>
      <c r="J20" s="1378" t="s">
        <v>303</v>
      </c>
      <c r="K20" s="1379"/>
      <c r="L20" s="1379"/>
      <c r="M20" s="1379"/>
      <c r="N20" s="1380"/>
      <c r="O20" s="759" t="str">
        <f>IF(ISBLANK('P2 Water Quality'!AB21),"",(IF('P2 Water Quality'!AB21&gt;0.5,1/(0.001506*(1.09116^'P2 Water Quality'!AB21)),637)))</f>
        <v/>
      </c>
      <c r="P20" s="791"/>
      <c r="W20" s="98" t="str">
        <f t="shared" si="2"/>
        <v/>
      </c>
    </row>
    <row r="21" spans="1:23" ht="24.6" customHeight="1" thickBot="1">
      <c r="A21" s="289">
        <v>18</v>
      </c>
      <c r="B21" s="540"/>
      <c r="C21" s="945" t="str">
        <f>IF((B21=0),"",((B21/('P1 Chemicals'!B25/1000000))/8.34))</f>
        <v/>
      </c>
      <c r="D21" s="140"/>
      <c r="E21" s="739" t="str">
        <f t="shared" si="0"/>
        <v/>
      </c>
      <c r="F21" s="289">
        <v>18</v>
      </c>
      <c r="G21" s="140"/>
      <c r="H21" s="742" t="str">
        <f t="shared" si="1"/>
        <v/>
      </c>
      <c r="I21" s="936"/>
      <c r="J21" s="1381"/>
      <c r="K21" s="1382"/>
      <c r="L21" s="1382"/>
      <c r="M21" s="1382"/>
      <c r="N21" s="1383"/>
      <c r="O21" s="759" t="str">
        <f>IF(ISBLANK('P2 Water Quality'!AB22),"",(IF('P2 Water Quality'!AB22&gt;0.5,1/(0.001506*(1.09116^'P2 Water Quality'!AB22)),637)))</f>
        <v/>
      </c>
      <c r="P21" s="791"/>
      <c r="W21" s="98" t="str">
        <f t="shared" si="2"/>
        <v/>
      </c>
    </row>
    <row r="22" spans="1:23" ht="29.25" customHeight="1" thickBot="1">
      <c r="A22" s="289">
        <v>19</v>
      </c>
      <c r="B22" s="540"/>
      <c r="C22" s="945" t="str">
        <f>IF((B22=0),"",((B22/('P1 Chemicals'!B26/1000000))/8.34))</f>
        <v/>
      </c>
      <c r="D22" s="140"/>
      <c r="E22" s="739" t="str">
        <f t="shared" si="0"/>
        <v/>
      </c>
      <c r="F22" s="289">
        <v>19</v>
      </c>
      <c r="G22" s="140"/>
      <c r="H22" s="742" t="str">
        <f t="shared" si="1"/>
        <v/>
      </c>
      <c r="I22" s="936"/>
      <c r="J22" s="1384" t="s">
        <v>304</v>
      </c>
      <c r="K22" s="1385"/>
      <c r="L22" s="1386"/>
      <c r="M22" s="1387"/>
      <c r="N22" s="1388"/>
      <c r="O22" s="759" t="str">
        <f>IF(ISBLANK('P2 Water Quality'!AB23),"",(IF('P2 Water Quality'!AB23&gt;0.5,1/(0.001506*(1.09116^'P2 Water Quality'!AB23)),637)))</f>
        <v/>
      </c>
      <c r="P22" s="791"/>
      <c r="W22" s="98" t="str">
        <f t="shared" si="2"/>
        <v/>
      </c>
    </row>
    <row r="23" spans="1:23" ht="31.15" customHeight="1" thickBot="1">
      <c r="A23" s="289">
        <v>20</v>
      </c>
      <c r="B23" s="540"/>
      <c r="C23" s="945" t="str">
        <f>IF((B23=0),"",((B23/('P1 Chemicals'!B27/1000000))/8.34))</f>
        <v/>
      </c>
      <c r="D23" s="140"/>
      <c r="E23" s="739" t="str">
        <f t="shared" si="0"/>
        <v/>
      </c>
      <c r="F23" s="289">
        <v>20</v>
      </c>
      <c r="G23" s="140"/>
      <c r="H23" s="742" t="str">
        <f t="shared" si="1"/>
        <v/>
      </c>
      <c r="I23" s="936"/>
      <c r="J23" s="932" t="s">
        <v>298</v>
      </c>
      <c r="K23" s="933" t="s">
        <v>305</v>
      </c>
      <c r="L23" s="933" t="s">
        <v>306</v>
      </c>
      <c r="M23" s="933" t="s">
        <v>307</v>
      </c>
      <c r="N23" s="934" t="s">
        <v>308</v>
      </c>
      <c r="O23" s="759" t="str">
        <f>IF(ISBLANK('P2 Water Quality'!AB24),"",(IF('P2 Water Quality'!AB24&gt;0.5,1/(0.001506*(1.09116^'P2 Water Quality'!AB24)),637)))</f>
        <v/>
      </c>
      <c r="P23" s="791"/>
      <c r="W23" s="98" t="str">
        <f t="shared" si="2"/>
        <v/>
      </c>
    </row>
    <row r="24" spans="1:23" ht="25.15" customHeight="1">
      <c r="A24" s="289">
        <v>21</v>
      </c>
      <c r="B24" s="540"/>
      <c r="C24" s="945" t="str">
        <f>IF((B24=0),"",((B24/('P1 Chemicals'!B28/1000000))/8.34))</f>
        <v/>
      </c>
      <c r="D24" s="140"/>
      <c r="E24" s="739" t="str">
        <f t="shared" si="0"/>
        <v/>
      </c>
      <c r="F24" s="289">
        <v>21</v>
      </c>
      <c r="G24" s="140"/>
      <c r="H24" s="742" t="str">
        <f t="shared" si="1"/>
        <v/>
      </c>
      <c r="I24" s="936"/>
      <c r="J24" s="182"/>
      <c r="K24" s="183"/>
      <c r="L24" s="183"/>
      <c r="M24" s="183"/>
      <c r="N24" s="754" t="str">
        <f>IF(OR((AND($M$22="chlorite MCL exceedance",(OR($K24&gt;1,$L24&gt;1,$M24&gt;1)))),(AND($M$22="chlorine dioxide MRDL exceedance",(OR($K24&gt;0.8,$L24&gt;0.8,$M24&gt;0.8))))),"Y","")</f>
        <v/>
      </c>
      <c r="O24" s="759" t="str">
        <f>IF(ISBLANK('P2 Water Quality'!AB25),"",(IF('P2 Water Quality'!AB25&gt;0.5,1/(0.001506*(1.09116^'P2 Water Quality'!AB25)),637)))</f>
        <v/>
      </c>
      <c r="P24" s="791"/>
      <c r="W24" s="98" t="str">
        <f t="shared" si="2"/>
        <v/>
      </c>
    </row>
    <row r="25" spans="1:23" ht="25.15" customHeight="1">
      <c r="A25" s="289">
        <v>22</v>
      </c>
      <c r="B25" s="540"/>
      <c r="C25" s="945" t="str">
        <f>IF((B25=0),"",((B25/('P1 Chemicals'!B29/1000000))/8.34))</f>
        <v/>
      </c>
      <c r="D25" s="140"/>
      <c r="E25" s="739" t="str">
        <f t="shared" si="0"/>
        <v/>
      </c>
      <c r="F25" s="289">
        <v>22</v>
      </c>
      <c r="G25" s="140"/>
      <c r="H25" s="742" t="str">
        <f t="shared" si="1"/>
        <v/>
      </c>
      <c r="I25" s="936"/>
      <c r="J25" s="182"/>
      <c r="K25" s="183"/>
      <c r="L25" s="183"/>
      <c r="M25" s="183"/>
      <c r="N25" s="755" t="str">
        <f t="shared" ref="N25:N34" si="4">IF(OR((AND($M$22="chlorite MCL exceedance",(OR($K25&gt;1,$L25&gt;1,$M25&gt;1)))),(AND($M$22="chlorine dioxide MRDL exceedance",(OR($K25&gt;0.8,$L25&gt;0.8,$M25&gt;0.8))))),"Y","")</f>
        <v/>
      </c>
      <c r="O25" s="759" t="str">
        <f>IF(ISBLANK('P2 Water Quality'!AB26),"",(IF('P2 Water Quality'!AB26&gt;0.5,1/(0.001506*(1.09116^'P2 Water Quality'!AB26)),637)))</f>
        <v/>
      </c>
      <c r="P25" s="791"/>
      <c r="W25" s="98" t="str">
        <f t="shared" si="2"/>
        <v/>
      </c>
    </row>
    <row r="26" spans="1:23" ht="25.15" customHeight="1">
      <c r="A26" s="289">
        <v>23</v>
      </c>
      <c r="B26" s="540"/>
      <c r="C26" s="945" t="str">
        <f>IF((B26=0),"",((B26/('P1 Chemicals'!B30/1000000))/8.34))</f>
        <v/>
      </c>
      <c r="D26" s="140"/>
      <c r="E26" s="739" t="str">
        <f t="shared" si="0"/>
        <v/>
      </c>
      <c r="F26" s="289">
        <v>23</v>
      </c>
      <c r="G26" s="140"/>
      <c r="H26" s="742" t="str">
        <f t="shared" si="1"/>
        <v/>
      </c>
      <c r="I26" s="936"/>
      <c r="J26" s="182"/>
      <c r="K26" s="183"/>
      <c r="L26" s="183"/>
      <c r="M26" s="183"/>
      <c r="N26" s="755" t="str">
        <f t="shared" si="4"/>
        <v/>
      </c>
      <c r="O26" s="759" t="str">
        <f>IF(ISBLANK('P2 Water Quality'!AB27),"",(IF('P2 Water Quality'!AB27&gt;0.5,1/(0.001506*(1.09116^'P2 Water Quality'!AB27)),637)))</f>
        <v/>
      </c>
      <c r="P26" s="791"/>
      <c r="W26" s="98" t="str">
        <f t="shared" si="2"/>
        <v/>
      </c>
    </row>
    <row r="27" spans="1:23" ht="25.15" customHeight="1">
      <c r="A27" s="289">
        <v>24</v>
      </c>
      <c r="B27" s="540"/>
      <c r="C27" s="945" t="str">
        <f>IF((B27=0),"",((B27/('P1 Chemicals'!B31/1000000))/8.34))</f>
        <v/>
      </c>
      <c r="D27" s="140"/>
      <c r="E27" s="739" t="str">
        <f t="shared" si="0"/>
        <v/>
      </c>
      <c r="F27" s="289">
        <v>24</v>
      </c>
      <c r="G27" s="140"/>
      <c r="H27" s="742" t="str">
        <f t="shared" si="1"/>
        <v/>
      </c>
      <c r="I27" s="936"/>
      <c r="J27" s="182"/>
      <c r="K27" s="183"/>
      <c r="L27" s="183"/>
      <c r="M27" s="183"/>
      <c r="N27" s="755" t="str">
        <f t="shared" si="4"/>
        <v/>
      </c>
      <c r="O27" s="759" t="str">
        <f>IF(ISBLANK('P2 Water Quality'!AB28),"",(IF('P2 Water Quality'!AB28&gt;0.5,1/(0.001506*(1.09116^'P2 Water Quality'!AB28)),637)))</f>
        <v/>
      </c>
      <c r="P27" s="791"/>
      <c r="W27" s="98" t="str">
        <f t="shared" si="2"/>
        <v/>
      </c>
    </row>
    <row r="28" spans="1:23" ht="25.15" customHeight="1">
      <c r="A28" s="289">
        <v>25</v>
      </c>
      <c r="B28" s="540"/>
      <c r="C28" s="945" t="str">
        <f>IF((B28=0),"",((B28/('P1 Chemicals'!B32/1000000))/8.34))</f>
        <v/>
      </c>
      <c r="D28" s="140"/>
      <c r="E28" s="739" t="str">
        <f t="shared" si="0"/>
        <v/>
      </c>
      <c r="F28" s="289">
        <v>25</v>
      </c>
      <c r="G28" s="140"/>
      <c r="H28" s="742" t="str">
        <f t="shared" si="1"/>
        <v/>
      </c>
      <c r="I28" s="936"/>
      <c r="J28" s="182"/>
      <c r="K28" s="183"/>
      <c r="L28" s="183"/>
      <c r="M28" s="183"/>
      <c r="N28" s="755" t="str">
        <f t="shared" si="4"/>
        <v/>
      </c>
      <c r="O28" s="759" t="str">
        <f>IF(ISBLANK('P2 Water Quality'!AB29),"",(IF('P2 Water Quality'!AB29&gt;0.5,1/(0.001506*(1.09116^'P2 Water Quality'!AB29)),637)))</f>
        <v/>
      </c>
      <c r="P28" s="791"/>
      <c r="W28" s="98" t="str">
        <f t="shared" si="2"/>
        <v/>
      </c>
    </row>
    <row r="29" spans="1:23" ht="25.15" customHeight="1">
      <c r="A29" s="289">
        <v>26</v>
      </c>
      <c r="B29" s="540"/>
      <c r="C29" s="945" t="str">
        <f>IF((B29=0),"",((B29/('P1 Chemicals'!B33/1000000))/8.34))</f>
        <v/>
      </c>
      <c r="D29" s="140"/>
      <c r="E29" s="739" t="str">
        <f t="shared" si="0"/>
        <v/>
      </c>
      <c r="F29" s="289">
        <v>26</v>
      </c>
      <c r="G29" s="140"/>
      <c r="H29" s="742" t="str">
        <f t="shared" si="1"/>
        <v/>
      </c>
      <c r="I29" s="936"/>
      <c r="J29" s="182"/>
      <c r="K29" s="183"/>
      <c r="L29" s="183"/>
      <c r="M29" s="183"/>
      <c r="N29" s="755" t="str">
        <f t="shared" si="4"/>
        <v/>
      </c>
      <c r="O29" s="759" t="str">
        <f>IF(ISBLANK('P2 Water Quality'!AB30),"",(IF('P2 Water Quality'!AB30&gt;0.5,1/(0.001506*(1.09116^'P2 Water Quality'!AB30)),637)))</f>
        <v/>
      </c>
      <c r="P29" s="791"/>
      <c r="W29" s="98" t="str">
        <f t="shared" si="2"/>
        <v/>
      </c>
    </row>
    <row r="30" spans="1:23" ht="25.15" customHeight="1">
      <c r="A30" s="289">
        <v>27</v>
      </c>
      <c r="B30" s="540"/>
      <c r="C30" s="945" t="str">
        <f>IF((B30=0),"",((B30/('P1 Chemicals'!B34/1000000))/8.34))</f>
        <v/>
      </c>
      <c r="D30" s="140"/>
      <c r="E30" s="739" t="str">
        <f t="shared" si="0"/>
        <v/>
      </c>
      <c r="F30" s="289">
        <v>27</v>
      </c>
      <c r="G30" s="140"/>
      <c r="H30" s="742" t="str">
        <f t="shared" si="1"/>
        <v/>
      </c>
      <c r="I30" s="936"/>
      <c r="J30" s="182"/>
      <c r="K30" s="183"/>
      <c r="L30" s="183"/>
      <c r="M30" s="183"/>
      <c r="N30" s="755" t="str">
        <f t="shared" si="4"/>
        <v/>
      </c>
      <c r="O30" s="759" t="str">
        <f>IF(ISBLANK('P2 Water Quality'!AB31),"",(IF('P2 Water Quality'!AB31&gt;0.5,1/(0.001506*(1.09116^'P2 Water Quality'!AB31)),637)))</f>
        <v/>
      </c>
      <c r="P30" s="791"/>
      <c r="W30" s="98" t="str">
        <f t="shared" si="2"/>
        <v/>
      </c>
    </row>
    <row r="31" spans="1:23" ht="25.15" customHeight="1">
      <c r="A31" s="289">
        <v>28</v>
      </c>
      <c r="B31" s="540"/>
      <c r="C31" s="945" t="str">
        <f>IF((B31=0),"",((B31/('P1 Chemicals'!B35/1000000))/8.34))</f>
        <v/>
      </c>
      <c r="D31" s="140"/>
      <c r="E31" s="739" t="str">
        <f t="shared" si="0"/>
        <v/>
      </c>
      <c r="F31" s="289">
        <v>28</v>
      </c>
      <c r="G31" s="140"/>
      <c r="H31" s="742" t="str">
        <f t="shared" si="1"/>
        <v/>
      </c>
      <c r="I31" s="936"/>
      <c r="J31" s="182"/>
      <c r="K31" s="183"/>
      <c r="L31" s="183"/>
      <c r="M31" s="183"/>
      <c r="N31" s="755" t="str">
        <f t="shared" si="4"/>
        <v/>
      </c>
      <c r="O31" s="759" t="str">
        <f>IF(ISBLANK('P2 Water Quality'!AB32),"",(IF('P2 Water Quality'!AB32&gt;0.5,1/(0.001506*(1.09116^'P2 Water Quality'!AB32)),637)))</f>
        <v/>
      </c>
      <c r="P31" s="791"/>
      <c r="W31" s="98" t="str">
        <f t="shared" si="2"/>
        <v/>
      </c>
    </row>
    <row r="32" spans="1:23" ht="25.15" customHeight="1">
      <c r="A32" s="289">
        <v>29</v>
      </c>
      <c r="B32" s="540"/>
      <c r="C32" s="945" t="str">
        <f>IF((B32=0),"",((B32/('P1 Chemicals'!B36/1000000))/8.34))</f>
        <v/>
      </c>
      <c r="D32" s="140"/>
      <c r="E32" s="739" t="str">
        <f t="shared" si="0"/>
        <v/>
      </c>
      <c r="F32" s="289">
        <v>29</v>
      </c>
      <c r="G32" s="140"/>
      <c r="H32" s="742" t="str">
        <f t="shared" si="1"/>
        <v/>
      </c>
      <c r="I32" s="936"/>
      <c r="J32" s="182"/>
      <c r="K32" s="183"/>
      <c r="L32" s="183"/>
      <c r="M32" s="183"/>
      <c r="N32" s="755" t="str">
        <f t="shared" si="4"/>
        <v/>
      </c>
      <c r="O32" s="759" t="str">
        <f>IF(ISBLANK('P2 Water Quality'!AB33),"",(IF('P2 Water Quality'!AB33&gt;0.5,1/(0.001506*(1.09116^'P2 Water Quality'!AB33)),637)))</f>
        <v/>
      </c>
      <c r="P32" s="791"/>
      <c r="W32" s="98" t="str">
        <f t="shared" si="2"/>
        <v/>
      </c>
    </row>
    <row r="33" spans="1:23" ht="25.15" customHeight="1">
      <c r="A33" s="289">
        <v>30</v>
      </c>
      <c r="B33" s="540"/>
      <c r="C33" s="945" t="str">
        <f>IF((B33=0),"",((B33/('P1 Chemicals'!B37/1000000))/8.34))</f>
        <v/>
      </c>
      <c r="D33" s="140"/>
      <c r="E33" s="739" t="str">
        <f t="shared" si="0"/>
        <v/>
      </c>
      <c r="F33" s="289">
        <v>30</v>
      </c>
      <c r="G33" s="140"/>
      <c r="H33" s="742" t="str">
        <f t="shared" si="1"/>
        <v/>
      </c>
      <c r="I33" s="936"/>
      <c r="J33" s="182"/>
      <c r="K33" s="183"/>
      <c r="L33" s="183"/>
      <c r="M33" s="183"/>
      <c r="N33" s="755" t="str">
        <f t="shared" si="4"/>
        <v/>
      </c>
      <c r="O33" s="759" t="str">
        <f>IF(ISBLANK('P2 Water Quality'!AB34),"",(IF('P2 Water Quality'!AB34&gt;0.5,1/(0.001506*(1.09116^'P2 Water Quality'!AB34)),637)))</f>
        <v/>
      </c>
      <c r="P33" s="791"/>
      <c r="W33" s="98" t="str">
        <f t="shared" si="2"/>
        <v/>
      </c>
    </row>
    <row r="34" spans="1:23" ht="25.15" customHeight="1" thickBot="1">
      <c r="A34" s="290">
        <v>31</v>
      </c>
      <c r="B34" s="540"/>
      <c r="C34" s="945" t="str">
        <f>IF((B34=0),"",((B34/('P1 Chemicals'!B38/1000000))/8.34))</f>
        <v/>
      </c>
      <c r="D34" s="141"/>
      <c r="E34" s="740" t="str">
        <f t="shared" si="0"/>
        <v/>
      </c>
      <c r="F34" s="290">
        <v>31</v>
      </c>
      <c r="G34" s="141"/>
      <c r="H34" s="743" t="str">
        <f t="shared" si="1"/>
        <v/>
      </c>
      <c r="I34" s="936"/>
      <c r="J34" s="185"/>
      <c r="K34" s="141"/>
      <c r="L34" s="141"/>
      <c r="M34" s="141"/>
      <c r="N34" s="756" t="str">
        <f t="shared" si="4"/>
        <v/>
      </c>
      <c r="O34" s="759" t="str">
        <f>IF(ISBLANK('P2 Water Quality'!AB35),"",(IF('P2 Water Quality'!AB35&gt;0.5,1/(0.001506*(1.09116^'P2 Water Quality'!AB35)),637)))</f>
        <v/>
      </c>
      <c r="P34" s="791"/>
      <c r="W34" s="98" t="str">
        <f t="shared" si="2"/>
        <v/>
      </c>
    </row>
    <row r="35" spans="1:23" ht="30.75" customHeight="1">
      <c r="A35" s="1362" t="s">
        <v>309</v>
      </c>
      <c r="B35" s="1362"/>
      <c r="C35" s="1362"/>
      <c r="D35" s="1362"/>
      <c r="E35" s="488">
        <f>COUNTIF(D4:D34, "&gt;=0")</f>
        <v>0</v>
      </c>
      <c r="F35" s="489"/>
      <c r="G35" s="490" t="s">
        <v>310</v>
      </c>
      <c r="H35" s="491">
        <f>COUNTIF(G4:G34, "&gt;=0")</f>
        <v>0</v>
      </c>
      <c r="I35" s="1364" t="s">
        <v>311</v>
      </c>
      <c r="J35" s="1364"/>
      <c r="K35" s="1364"/>
      <c r="L35" s="1364"/>
      <c r="M35" s="515">
        <f>COUNTIF(B4:B34, "&gt;=0")</f>
        <v>0</v>
      </c>
      <c r="N35" s="520">
        <f>PWSID</f>
        <v>0</v>
      </c>
      <c r="O35" s="791"/>
      <c r="P35" s="791"/>
      <c r="W35" s="100">
        <f>SUM(W5:W34)</f>
        <v>0</v>
      </c>
    </row>
    <row r="36" spans="1:23" ht="25.15" customHeight="1">
      <c r="A36" s="1363" t="s">
        <v>312</v>
      </c>
      <c r="B36" s="1363"/>
      <c r="C36" s="1363"/>
      <c r="D36" s="1363"/>
      <c r="E36" s="492">
        <f>MAX(D4:D34)</f>
        <v>0</v>
      </c>
      <c r="F36" s="493"/>
      <c r="G36" s="494" t="s">
        <v>313</v>
      </c>
      <c r="H36" s="495">
        <f>MAX(G4:G34)</f>
        <v>0</v>
      </c>
      <c r="I36" s="1363" t="s">
        <v>636</v>
      </c>
      <c r="J36" s="1363"/>
      <c r="K36" s="1363"/>
      <c r="L36" s="1363"/>
      <c r="M36" s="516">
        <f>SUM(B4:B34)</f>
        <v>0</v>
      </c>
      <c r="N36" s="518" t="str">
        <f>MMYYYY</f>
        <v>05/2025</v>
      </c>
      <c r="O36" s="942" t="str">
        <f>IF(E36&gt;0.8,"Chlorine Dioxide MRDL Exceded:  Collect Distribution Samples: See Guidance Below","")</f>
        <v/>
      </c>
      <c r="P36" s="940"/>
      <c r="Q36" s="939"/>
      <c r="R36" s="939"/>
      <c r="S36" s="939"/>
      <c r="T36" s="939"/>
    </row>
    <row r="37" spans="1:23" ht="25.15" customHeight="1">
      <c r="A37" s="1363" t="s">
        <v>314</v>
      </c>
      <c r="B37" s="1363"/>
      <c r="C37" s="1363"/>
      <c r="D37" s="1363"/>
      <c r="E37" s="496">
        <f>COUNTIF(D4:D34,"&gt;0.8")</f>
        <v>0</v>
      </c>
      <c r="F37" s="497"/>
      <c r="G37" s="498" t="s">
        <v>315</v>
      </c>
      <c r="H37" s="499">
        <f>COUNTIF(G4:G34,"&gt;1")</f>
        <v>0</v>
      </c>
      <c r="I37" s="1365"/>
      <c r="J37" s="1365"/>
      <c r="K37" s="1365"/>
      <c r="L37" s="1365"/>
      <c r="M37" s="517"/>
      <c r="N37" s="519"/>
      <c r="O37" s="942"/>
      <c r="P37" s="940"/>
      <c r="Q37" s="939"/>
      <c r="R37" s="939"/>
      <c r="S37" s="939"/>
      <c r="T37" s="939"/>
    </row>
    <row r="38" spans="1:23" ht="9" customHeight="1">
      <c r="A38" s="791" t="s">
        <v>316</v>
      </c>
      <c r="B38" s="867"/>
      <c r="C38" s="867"/>
      <c r="D38" s="791"/>
      <c r="E38" s="941"/>
      <c r="F38" s="791"/>
      <c r="G38" s="941"/>
      <c r="H38" s="941"/>
      <c r="I38" s="941"/>
      <c r="J38" s="936"/>
      <c r="K38" s="936"/>
      <c r="L38" s="936"/>
      <c r="M38" s="936"/>
      <c r="N38" s="936"/>
      <c r="O38" s="791"/>
      <c r="P38" s="791"/>
    </row>
    <row r="39" spans="1:23" ht="24.75" customHeight="1">
      <c r="A39" s="283" t="s">
        <v>608</v>
      </c>
      <c r="B39" s="283"/>
      <c r="C39" s="283"/>
      <c r="D39" s="283"/>
      <c r="E39" s="283"/>
      <c r="F39" s="283"/>
      <c r="G39" s="283"/>
      <c r="H39" s="283"/>
      <c r="I39" s="283"/>
      <c r="J39" s="286"/>
      <c r="K39" s="286"/>
      <c r="L39" s="286"/>
      <c r="M39" s="286"/>
      <c r="N39" s="286"/>
      <c r="O39" s="1366" t="str">
        <f>IF(W35&gt;0.8,"Tier 2 Violation: PN Required: MRDL Exceeded on Two Consecutive Days. Use template 2-3CD","")</f>
        <v/>
      </c>
      <c r="P39" s="1366"/>
      <c r="Q39" s="1366"/>
      <c r="R39" s="1366"/>
      <c r="S39" s="1366"/>
      <c r="T39" s="1366"/>
    </row>
    <row r="40" spans="1:23" ht="30.6" customHeight="1">
      <c r="A40" s="1367" t="s">
        <v>609</v>
      </c>
      <c r="B40" s="1367"/>
      <c r="C40" s="1367"/>
      <c r="D40" s="1367"/>
      <c r="E40" s="1367"/>
      <c r="F40" s="1367"/>
      <c r="G40" s="1367"/>
      <c r="H40" s="1367"/>
      <c r="I40" s="1367"/>
      <c r="J40" s="1367"/>
      <c r="K40" s="1367"/>
      <c r="L40" s="1367"/>
      <c r="M40" s="1367"/>
      <c r="N40" s="1367"/>
      <c r="O40" s="1366"/>
      <c r="P40" s="1366"/>
      <c r="Q40" s="1366"/>
      <c r="R40" s="1366"/>
      <c r="S40" s="1366"/>
      <c r="T40" s="1366"/>
    </row>
    <row r="41" spans="1:23" ht="27.6" customHeight="1">
      <c r="A41" s="1361" t="s">
        <v>610</v>
      </c>
      <c r="B41" s="1361"/>
      <c r="C41" s="1361"/>
      <c r="D41" s="1361"/>
      <c r="E41" s="1361"/>
      <c r="F41" s="1361"/>
      <c r="G41" s="1361"/>
      <c r="H41" s="1361"/>
      <c r="I41" s="1361"/>
      <c r="J41" s="1361"/>
      <c r="K41" s="1361"/>
      <c r="L41" s="1361"/>
      <c r="M41" s="1361"/>
      <c r="N41" s="1361"/>
      <c r="O41" s="943"/>
      <c r="P41" s="944"/>
      <c r="Q41" s="101"/>
      <c r="R41" s="101"/>
    </row>
    <row r="42" spans="1:23" ht="24.75" customHeight="1">
      <c r="A42" s="16"/>
      <c r="B42" s="16"/>
      <c r="C42" s="16"/>
      <c r="D42" s="16"/>
      <c r="E42" s="16"/>
      <c r="F42" s="16"/>
      <c r="G42" s="16"/>
      <c r="H42" s="16"/>
      <c r="I42" s="16"/>
      <c r="J42" s="78"/>
      <c r="K42" s="78"/>
      <c r="L42" s="78"/>
      <c r="M42" s="78"/>
      <c r="N42" s="116"/>
      <c r="O42" s="291"/>
      <c r="P42" s="291"/>
      <c r="Q42" s="291"/>
      <c r="R42" s="291"/>
      <c r="S42" s="291"/>
      <c r="T42" s="291"/>
    </row>
    <row r="43" spans="1:23" ht="18" customHeight="1">
      <c r="A43" s="16"/>
      <c r="B43" s="16"/>
      <c r="C43" s="16"/>
      <c r="D43" s="16"/>
      <c r="E43" s="16"/>
      <c r="F43" s="16"/>
      <c r="G43" s="16"/>
      <c r="H43" s="16"/>
      <c r="I43" s="16"/>
      <c r="J43" s="16"/>
      <c r="K43" s="16"/>
      <c r="N43" s="116"/>
      <c r="O43" s="291"/>
      <c r="P43" s="291"/>
      <c r="Q43" s="291"/>
      <c r="R43" s="291"/>
      <c r="S43" s="291"/>
      <c r="T43" s="291"/>
    </row>
    <row r="44" spans="1:23" ht="18" customHeight="1">
      <c r="A44" s="16"/>
      <c r="B44" s="16"/>
      <c r="C44" s="16"/>
      <c r="D44" s="16"/>
      <c r="E44" s="16"/>
      <c r="F44" s="16"/>
      <c r="G44" s="16"/>
      <c r="H44" s="16"/>
      <c r="I44" s="16"/>
      <c r="J44" s="16"/>
      <c r="K44" s="16"/>
    </row>
    <row r="81" spans="1:2" ht="15">
      <c r="A81" s="648" t="s">
        <v>126</v>
      </c>
      <c r="B81"/>
    </row>
    <row r="82" spans="1:2">
      <c r="A82" s="139" t="s">
        <v>208</v>
      </c>
      <c r="B82" s="116" t="s">
        <v>317</v>
      </c>
    </row>
    <row r="83" spans="1:2">
      <c r="A83" s="139"/>
      <c r="B83" s="634" t="s">
        <v>318</v>
      </c>
    </row>
    <row r="84" spans="1:2">
      <c r="A84" s="139" t="s">
        <v>256</v>
      </c>
      <c r="B84" s="116" t="s">
        <v>319</v>
      </c>
    </row>
    <row r="85" spans="1:2">
      <c r="A85" s="139"/>
      <c r="B85" s="116" t="s">
        <v>671</v>
      </c>
    </row>
    <row r="86" spans="1:2">
      <c r="B86" s="432" t="s">
        <v>320</v>
      </c>
    </row>
    <row r="87" spans="1:2">
      <c r="B87" s="116" t="s">
        <v>668</v>
      </c>
    </row>
    <row r="88" spans="1:2">
      <c r="B88" s="116" t="s">
        <v>667</v>
      </c>
    </row>
    <row r="89" spans="1:2">
      <c r="B89" s="116" t="s">
        <v>669</v>
      </c>
    </row>
    <row r="90" spans="1:2">
      <c r="B90" s="116" t="s">
        <v>670</v>
      </c>
    </row>
  </sheetData>
  <sheetProtection algorithmName="SHA-512" hashValue="wAzRprLFW08m2p2tokK1eMRj2s4yPIuzs1e6oxSbVPER/S8n863u1BC7awkCWe3uBVwp6GSiH4u2f85NVOi3jw==" saltValue="u+7iLFIh02dWh4anPsSv0A==" spinCount="100000" sheet="1" insertRows="0" selectLockedCells="1"/>
  <mergeCells count="18">
    <mergeCell ref="O39:T40"/>
    <mergeCell ref="A40:N40"/>
    <mergeCell ref="J2:N2"/>
    <mergeCell ref="J3:N3"/>
    <mergeCell ref="J18:N19"/>
    <mergeCell ref="J20:N21"/>
    <mergeCell ref="J22:L22"/>
    <mergeCell ref="M22:N22"/>
    <mergeCell ref="D2:H2"/>
    <mergeCell ref="B2:C2"/>
    <mergeCell ref="A2:A3"/>
    <mergeCell ref="A41:N41"/>
    <mergeCell ref="A35:D35"/>
    <mergeCell ref="A36:D36"/>
    <mergeCell ref="A37:D37"/>
    <mergeCell ref="I35:L35"/>
    <mergeCell ref="I36:L36"/>
    <mergeCell ref="I37:L37"/>
  </mergeCells>
  <conditionalFormatting sqref="C4:C34">
    <cfRule type="cellIs" dxfId="32" priority="1" operator="equal">
      <formula>0</formula>
    </cfRule>
  </conditionalFormatting>
  <conditionalFormatting sqref="D4:D34">
    <cfRule type="cellIs" dxfId="31" priority="5" operator="greaterThan">
      <formula>0.8</formula>
    </cfRule>
  </conditionalFormatting>
  <conditionalFormatting sqref="G4:G34">
    <cfRule type="cellIs" dxfId="30" priority="4" operator="greaterThan">
      <formula>1</formula>
    </cfRule>
  </conditionalFormatting>
  <conditionalFormatting sqref="K5:M17">
    <cfRule type="cellIs" dxfId="29" priority="3" operator="greaterThan">
      <formula>0.8</formula>
    </cfRule>
  </conditionalFormatting>
  <conditionalFormatting sqref="K24:M34">
    <cfRule type="cellIs" dxfId="28" priority="2" operator="greaterThan">
      <formula>0.8</formula>
    </cfRule>
  </conditionalFormatting>
  <hyperlinks>
    <hyperlink ref="A1" location="Bookmarks!A1" display="Return to Bookmarks" xr:uid="{9B7CBDD5-F0E9-4B6D-93A4-E1C6DD471AD1}"/>
  </hyperlinks>
  <printOptions horizontalCentered="1" verticalCentered="1"/>
  <pageMargins left="1.25" right="0.5" top="0.75" bottom="0.5" header="0.5" footer="0"/>
  <pageSetup scale="52" fitToHeight="0" orientation="portrait" r:id="rId1"/>
  <headerFooter alignWithMargins="0">
    <oddHeader>&amp;LMonthly Operating Report
Chlorine Dioxide/Chlorite</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Dropdowns!$K$2:$K$3</xm:f>
          </x14:formula1>
          <xm:sqref>M22:N22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AA2235805C774AB46ECF0E339DA549" ma:contentTypeVersion="4" ma:contentTypeDescription="Create a new document." ma:contentTypeScope="" ma:versionID="ba6f68e2e4491494866694c043b37cc7">
  <xsd:schema xmlns:xsd="http://www.w3.org/2001/XMLSchema" xmlns:xs="http://www.w3.org/2001/XMLSchema" xmlns:p="http://schemas.microsoft.com/office/2006/metadata/properties" xmlns:ns2="6263250a-c625-473a-864c-20d91743ffeb" xmlns:ns3="e309d946-9fb8-48a3-ae4d-f86d881f4691" targetNamespace="http://schemas.microsoft.com/office/2006/metadata/properties" ma:root="true" ma:fieldsID="975cfca3c836190670d5ebc3b1afec59" ns2:_="" ns3:_="">
    <xsd:import namespace="6263250a-c625-473a-864c-20d91743ffeb"/>
    <xsd:import namespace="e309d946-9fb8-48a3-ae4d-f86d881f4691"/>
    <xsd:element name="properties">
      <xsd:complexType>
        <xsd:sequence>
          <xsd:element name="documentManagement">
            <xsd:complexType>
              <xsd:all>
                <xsd:element ref="ns2:Category" minOccurs="0"/>
                <xsd:element ref="ns3:SharedWithUsers" minOccurs="0"/>
                <xsd:element ref="ns2: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3250a-c625-473a-864c-20d91743ffeb" elementFormDefault="qualified">
    <xsd:import namespace="http://schemas.microsoft.com/office/2006/documentManagement/types"/>
    <xsd:import namespace="http://schemas.microsoft.com/office/infopath/2007/PartnerControls"/>
    <xsd:element name="Category" ma:index="9" nillable="true" ma:displayName="Category" ma:internalName="Category">
      <xsd:simpleType>
        <xsd:restriction base="dms:Text">
          <xsd:maxLength value="255"/>
        </xsd:restriction>
      </xsd:simpleType>
    </xsd:element>
    <xsd:element name="Subcategory" ma:index="11" nillable="true" ma:displayName="Subcategory" ma:internalName="Subcategor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09d946-9fb8-48a3-ae4d-f86d881f46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309d946-9fb8-48a3-ae4d-f86d881f4691">
      <UserInfo>
        <DisplayName>Anappindi, Anisha (EEC)</DisplayName>
        <AccountId>63</AccountId>
        <AccountType/>
      </UserInfo>
      <UserInfo>
        <DisplayName>Brown, Tekoyia (EEC)</DisplayName>
        <AccountId>27</AccountId>
        <AccountType/>
      </UserInfo>
      <UserInfo>
        <DisplayName>Givan, Ethan (EEC)</DisplayName>
        <AccountId>60</AccountId>
        <AccountType/>
      </UserInfo>
      <UserInfo>
        <DisplayName>Bailey, C.J. (EEC)</DisplayName>
        <AccountId>17</AccountId>
        <AccountType/>
      </UserInfo>
      <UserInfo>
        <DisplayName>Uliasz, Joseph (EEC)</DisplayName>
        <AccountId>20</AccountId>
        <AccountType/>
      </UserInfo>
    </SharedWithUsers>
    <Subcategory xmlns="6263250a-c625-473a-864c-20d91743ffeb">Monthly Operating Report (MOR)</Subcategory>
    <Category xmlns="6263250a-c625-473a-864c-20d91743ffeb">Drinking Water Regulations</Category>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4E24202-3E19-455F-AC19-51F5D33B5836}"/>
</file>

<file path=customXml/itemProps2.xml><?xml version="1.0" encoding="utf-8"?>
<ds:datastoreItem xmlns:ds="http://schemas.openxmlformats.org/officeDocument/2006/customXml" ds:itemID="{3B8180BB-0A47-4A64-A8FB-178C09555050}">
  <ds:schemaRefs>
    <ds:schemaRef ds:uri="http://schemas.microsoft.com/sharepoint/v3/contenttype/forms"/>
  </ds:schemaRefs>
</ds:datastoreItem>
</file>

<file path=customXml/itemProps3.xml><?xml version="1.0" encoding="utf-8"?>
<ds:datastoreItem xmlns:ds="http://schemas.openxmlformats.org/officeDocument/2006/customXml" ds:itemID="{13E8C3D0-584B-4A6D-B455-F94423C08882}">
  <ds:schemaRefs>
    <ds:schemaRef ds:uri="fa5d4fd8-1639-4dc7-b726-61eff950cd22"/>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6766d0a9-0824-47f7-9f66-d3de3a4c49a2"/>
    <ds:schemaRef ds:uri="http://www.w3.org/XML/1998/namespace"/>
    <ds:schemaRef ds:uri="http://purl.org/dc/dcmitype/"/>
  </ds:schemaRefs>
</ds:datastoreItem>
</file>

<file path=customXml/itemProps4.xml><?xml version="1.0" encoding="utf-8"?>
<ds:datastoreItem xmlns:ds="http://schemas.openxmlformats.org/officeDocument/2006/customXml" ds:itemID="{4A68D8FF-F5FD-417A-9431-375994E319D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48</vt:i4>
      </vt:variant>
    </vt:vector>
  </HeadingPairs>
  <TitlesOfParts>
    <vt:vector size="69" baseType="lpstr">
      <vt:lpstr>Bookmarks</vt:lpstr>
      <vt:lpstr>CoverSheet </vt:lpstr>
      <vt:lpstr>P1 Chemicals</vt:lpstr>
      <vt:lpstr>P2 Water Quality</vt:lpstr>
      <vt:lpstr>P3 Turbidity</vt:lpstr>
      <vt:lpstr>P3A IF Turbidity Exc</vt:lpstr>
      <vt:lpstr>P4 Filters</vt:lpstr>
      <vt:lpstr>P5 Dis. Residual</vt:lpstr>
      <vt:lpstr>P6 ChlorineDioxide</vt:lpstr>
      <vt:lpstr>P7 Fluoride</vt:lpstr>
      <vt:lpstr>P8 LT2 Bin2</vt:lpstr>
      <vt:lpstr>P9 UV</vt:lpstr>
      <vt:lpstr>P10 Membrane Filt</vt:lpstr>
      <vt:lpstr>P11 Clarifiers</vt:lpstr>
      <vt:lpstr>P12 Water Loss</vt:lpstr>
      <vt:lpstr>Plant Summary Sheet</vt:lpstr>
      <vt:lpstr>Summary Sheet</vt:lpstr>
      <vt:lpstr>PurchaseSaleWorksheet</vt:lpstr>
      <vt:lpstr>Comments</vt:lpstr>
      <vt:lpstr>Annual Data </vt:lpstr>
      <vt:lpstr>Dropdowns</vt:lpstr>
      <vt:lpstr>AvgHours</vt:lpstr>
      <vt:lpstr>'P8 LT2 Bin2'!Check11</vt:lpstr>
      <vt:lpstr>'P8 LT2 Bin2'!Check12</vt:lpstr>
      <vt:lpstr>'P8 LT2 Bin2'!Check13</vt:lpstr>
      <vt:lpstr>'P8 LT2 Bin2'!Check14</vt:lpstr>
      <vt:lpstr>'P8 LT2 Bin2'!Check6</vt:lpstr>
      <vt:lpstr>MaxPump</vt:lpstr>
      <vt:lpstr>MMYYYY</vt:lpstr>
      <vt:lpstr>OperDays</vt:lpstr>
      <vt:lpstr>'Annual Data '!Print_Area</vt:lpstr>
      <vt:lpstr>Bookmarks!Print_Area</vt:lpstr>
      <vt:lpstr>Comments!Print_Area</vt:lpstr>
      <vt:lpstr>'CoverSheet '!Print_Area</vt:lpstr>
      <vt:lpstr>'P1 Chemicals'!Print_Area</vt:lpstr>
      <vt:lpstr>'P10 Membrane Filt'!Print_Area</vt:lpstr>
      <vt:lpstr>'P11 Clarifiers'!Print_Area</vt:lpstr>
      <vt:lpstr>'P12 Water Loss'!Print_Area</vt:lpstr>
      <vt:lpstr>'P2 Water Quality'!Print_Area</vt:lpstr>
      <vt:lpstr>'P3 Turbidity'!Print_Area</vt:lpstr>
      <vt:lpstr>'P3A IF Turbidity Exc'!Print_Area</vt:lpstr>
      <vt:lpstr>'P4 Filters'!Print_Area</vt:lpstr>
      <vt:lpstr>'P5 Dis. Residual'!Print_Area</vt:lpstr>
      <vt:lpstr>'P6 ChlorineDioxide'!Print_Area</vt:lpstr>
      <vt:lpstr>'P7 Fluoride'!Print_Area</vt:lpstr>
      <vt:lpstr>'P8 LT2 Bin2'!Print_Area</vt:lpstr>
      <vt:lpstr>'P9 UV'!Print_Area</vt:lpstr>
      <vt:lpstr>'Plant Summary Sheet'!Print_Area</vt:lpstr>
      <vt:lpstr>PurchaseSaleWorksheet!Print_Area</vt:lpstr>
      <vt:lpstr>'Summary Sheet'!Print_Area</vt:lpstr>
      <vt:lpstr>'P1 Chemicals'!Print_Titles</vt:lpstr>
      <vt:lpstr>'P11 Clarifiers'!Print_Titles</vt:lpstr>
      <vt:lpstr>'P2 Water Quality'!Print_Titles</vt:lpstr>
      <vt:lpstr>'P4 Filters'!Print_Titles</vt:lpstr>
      <vt:lpstr>'P7 Fluoride'!Print_Titles</vt:lpstr>
      <vt:lpstr>PWSID</vt:lpstr>
      <vt:lpstr>'P8 LT2 Bin2'!Text10</vt:lpstr>
      <vt:lpstr>'P8 LT2 Bin2'!Text11</vt:lpstr>
      <vt:lpstr>'P8 LT2 Bin2'!Text12</vt:lpstr>
      <vt:lpstr>'P8 LT2 Bin2'!Text13</vt:lpstr>
      <vt:lpstr>'P8 LT2 Bin2'!Text15</vt:lpstr>
      <vt:lpstr>'P8 LT2 Bin2'!Text16</vt:lpstr>
      <vt:lpstr>'P8 LT2 Bin2'!Text17</vt:lpstr>
      <vt:lpstr>'P8 LT2 Bin2'!Text5</vt:lpstr>
      <vt:lpstr>'P8 LT2 Bin2'!Text6</vt:lpstr>
      <vt:lpstr>'P8 LT2 Bin2'!Text7</vt:lpstr>
      <vt:lpstr>'P8 LT2 Bin2'!Text9</vt:lpstr>
      <vt:lpstr>TotalHours</vt:lpstr>
      <vt:lpstr>TotTreated</vt:lpstr>
    </vt:vector>
  </TitlesOfParts>
  <Manager/>
  <Company>NREPC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Operating Report (eMOR)</dc:title>
  <dc:subject/>
  <dc:creator>roney</dc:creator>
  <cp:keywords/>
  <dc:description/>
  <cp:lastModifiedBy>elizabeth.dowling</cp:lastModifiedBy>
  <cp:revision/>
  <cp:lastPrinted>2025-06-12T15:39:33Z</cp:lastPrinted>
  <dcterms:created xsi:type="dcterms:W3CDTF">2000-09-18T13:33:25Z</dcterms:created>
  <dcterms:modified xsi:type="dcterms:W3CDTF">2025-06-13T20:14:40Z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quired by Chapter 8">
    <vt:lpwstr>1</vt:lpwstr>
  </property>
  <property fmtid="{D5CDD505-2E9C-101B-9397-08002B2CF9AE}" pid="3" name="ContentType">
    <vt:lpwstr>Document</vt:lpwstr>
  </property>
  <property fmtid="{D5CDD505-2E9C-101B-9397-08002B2CF9AE}" pid="4" name="Format">
    <vt:lpwstr>Excel</vt:lpwstr>
  </property>
  <property fmtid="{D5CDD505-2E9C-101B-9397-08002B2CF9AE}" pid="5" name="Form Title">
    <vt:lpwstr>http://water.ky.gov/DrinkingWater/Drinking%20Water%20Forms/eMORv6231.xls, Monthly Operating Report (eMOR)</vt:lpwstr>
  </property>
  <property fmtid="{D5CDD505-2E9C-101B-9397-08002B2CF9AE}" pid="6" name="Year Revised">
    <vt:lpwstr>2008</vt:lpwstr>
  </property>
  <property fmtid="{D5CDD505-2E9C-101B-9397-08002B2CF9AE}" pid="7" name="Subject">
    <vt:lpwstr/>
  </property>
  <property fmtid="{D5CDD505-2E9C-101B-9397-08002B2CF9AE}" pid="8" name="Keywords">
    <vt:lpwstr/>
  </property>
  <property fmtid="{D5CDD505-2E9C-101B-9397-08002B2CF9AE}" pid="9" name="_Author">
    <vt:lpwstr>roney</vt:lpwstr>
  </property>
  <property fmtid="{D5CDD505-2E9C-101B-9397-08002B2CF9AE}" pid="10" name="_Category">
    <vt:lpwstr/>
  </property>
  <property fmtid="{D5CDD505-2E9C-101B-9397-08002B2CF9AE}" pid="11" name="Categories">
    <vt:lpwstr/>
  </property>
  <property fmtid="{D5CDD505-2E9C-101B-9397-08002B2CF9AE}" pid="12" name="Approval Level">
    <vt:lpwstr/>
  </property>
  <property fmtid="{D5CDD505-2E9C-101B-9397-08002B2CF9AE}" pid="13" name="_Comments">
    <vt:lpwstr/>
  </property>
  <property fmtid="{D5CDD505-2E9C-101B-9397-08002B2CF9AE}" pid="14" name="Assigned To">
    <vt:lpwstr/>
  </property>
  <property fmtid="{D5CDD505-2E9C-101B-9397-08002B2CF9AE}" pid="15" name="Classification">
    <vt:lpwstr>Compliance Forms</vt:lpwstr>
  </property>
  <property fmtid="{D5CDD505-2E9C-101B-9397-08002B2CF9AE}" pid="16" name="Order">
    <vt:lpwstr>1300.00000000000</vt:lpwstr>
  </property>
  <property fmtid="{D5CDD505-2E9C-101B-9397-08002B2CF9AE}" pid="17" name="ContentTypeId">
    <vt:lpwstr>0x010100D5AA2235805C774AB46ECF0E339DA549</vt:lpwstr>
  </property>
  <property fmtid="{D5CDD505-2E9C-101B-9397-08002B2CF9AE}" pid="18" name="MediaServiceImageTags">
    <vt:lpwstr/>
  </property>
</Properties>
</file>