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wn_baase\Documents\OneDrive - Commonwealth of Kentucky\00-DNR\Regulation Development Folder\DMP\2023 - 405 KAR 10_015 &amp; 10_001\Finals\"/>
    </mc:Choice>
  </mc:AlternateContent>
  <xr:revisionPtr revIDLastSave="0" documentId="13_ncr:1_{2746AF52-D537-4A9D-94F0-8F58DE63786C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inc 9" sheetId="14" r:id="rId1"/>
    <sheet name="Summary" sheetId="2" r:id="rId2"/>
    <sheet name="Approve" sheetId="13" state="veryHidden" r:id="rId3"/>
    <sheet name="NewForm" sheetId="12" state="hidden" r:id="rId4"/>
    <sheet name="OldForm" sheetId="11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14" l="1"/>
  <c r="G112" i="14"/>
  <c r="G111" i="14"/>
  <c r="G110" i="14"/>
  <c r="G109" i="14"/>
  <c r="B99" i="14"/>
  <c r="G9" i="14" s="1"/>
  <c r="G14" i="14" s="1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S67" i="14"/>
  <c r="P67" i="14"/>
  <c r="P63" i="14"/>
  <c r="C63" i="14"/>
  <c r="P62" i="14"/>
  <c r="C62" i="14"/>
  <c r="S42" i="14"/>
  <c r="S40" i="14"/>
  <c r="P33" i="14"/>
  <c r="P32" i="14"/>
  <c r="P31" i="14"/>
  <c r="L30" i="14"/>
  <c r="P26" i="14"/>
  <c r="G26" i="14"/>
  <c r="H26" i="14" s="1"/>
  <c r="P25" i="14"/>
  <c r="G25" i="14"/>
  <c r="H25" i="14" s="1"/>
  <c r="G24" i="14"/>
  <c r="H24" i="14" s="1"/>
  <c r="P24" i="14" s="1"/>
  <c r="G23" i="14"/>
  <c r="H23" i="14"/>
  <c r="P23" i="14" s="1"/>
  <c r="G22" i="14"/>
  <c r="H22" i="14" s="1"/>
  <c r="P22" i="14" s="1"/>
  <c r="G21" i="14"/>
  <c r="H21" i="14" s="1"/>
  <c r="P21" i="14" s="1"/>
  <c r="G19" i="14"/>
  <c r="H19" i="14" s="1"/>
  <c r="P19" i="14" s="1"/>
  <c r="S40" i="12"/>
  <c r="S67" i="12"/>
  <c r="P67" i="12"/>
  <c r="G112" i="12"/>
  <c r="C63" i="12"/>
  <c r="P63" i="12"/>
  <c r="P62" i="12"/>
  <c r="C62" i="12"/>
  <c r="P33" i="12"/>
  <c r="P32" i="12"/>
  <c r="P36" i="12" s="1"/>
  <c r="D49" i="12" s="1"/>
  <c r="P31" i="12"/>
  <c r="G111" i="12"/>
  <c r="G110" i="12"/>
  <c r="G109" i="12"/>
  <c r="G114" i="12" s="1"/>
  <c r="G44" i="12" s="1"/>
  <c r="S44" i="12" s="1"/>
  <c r="G122" i="12"/>
  <c r="B99" i="12"/>
  <c r="G9" i="12"/>
  <c r="G14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100" i="12" s="1"/>
  <c r="G20" i="12" s="1"/>
  <c r="P20" i="12" s="1"/>
  <c r="S42" i="12"/>
  <c r="R42" i="12" s="1"/>
  <c r="G19" i="12"/>
  <c r="H19" i="12" s="1"/>
  <c r="P19" i="12" s="1"/>
  <c r="G21" i="12"/>
  <c r="H21" i="12"/>
  <c r="P21" i="12" s="1"/>
  <c r="G22" i="12"/>
  <c r="H22" i="12"/>
  <c r="P22" i="12"/>
  <c r="G23" i="12"/>
  <c r="H23" i="12"/>
  <c r="P23" i="12"/>
  <c r="G24" i="12"/>
  <c r="H24" i="12" s="1"/>
  <c r="P24" i="12" s="1"/>
  <c r="P25" i="12"/>
  <c r="P26" i="12"/>
  <c r="L30" i="12"/>
  <c r="G26" i="12"/>
  <c r="H26" i="12"/>
  <c r="G25" i="12"/>
  <c r="H25" i="12" s="1"/>
  <c r="A5" i="2"/>
  <c r="R52" i="11"/>
  <c r="R47" i="11"/>
  <c r="R46" i="11"/>
  <c r="P69" i="11"/>
  <c r="S69" i="11"/>
  <c r="R33" i="11"/>
  <c r="Q35" i="11" s="1"/>
  <c r="G14" i="11"/>
  <c r="E126" i="11"/>
  <c r="B65" i="11"/>
  <c r="R32" i="11"/>
  <c r="F33" i="11"/>
  <c r="F32" i="11"/>
  <c r="F40" i="11"/>
  <c r="F38" i="11"/>
  <c r="F39" i="11"/>
  <c r="Q41" i="11" s="1"/>
  <c r="F41" i="11"/>
  <c r="R45" i="11"/>
  <c r="F45" i="11"/>
  <c r="F46" i="11"/>
  <c r="Q48" i="11" s="1"/>
  <c r="F47" i="11"/>
  <c r="R51" i="11"/>
  <c r="F51" i="11"/>
  <c r="Q54" i="11"/>
  <c r="F52" i="11"/>
  <c r="F53" i="11"/>
  <c r="R57" i="11"/>
  <c r="Q62" i="11"/>
  <c r="G65" i="11" s="1"/>
  <c r="P66" i="11" s="1"/>
  <c r="D117" i="11" s="1"/>
  <c r="R59" i="11"/>
  <c r="R58" i="11"/>
  <c r="R60" i="11"/>
  <c r="G19" i="11"/>
  <c r="P19" i="11" s="1"/>
  <c r="G22" i="11"/>
  <c r="P22" i="11"/>
  <c r="Q25" i="11"/>
  <c r="Q24" i="11"/>
  <c r="Q23" i="11"/>
  <c r="E23" i="11"/>
  <c r="G23" i="11"/>
  <c r="P20" i="11"/>
  <c r="P21" i="11"/>
  <c r="S73" i="11"/>
  <c r="S80" i="11"/>
  <c r="S84" i="11"/>
  <c r="S87" i="11"/>
  <c r="L90" i="11"/>
  <c r="L91" i="11"/>
  <c r="L92" i="11"/>
  <c r="L93" i="11"/>
  <c r="L94" i="11"/>
  <c r="S92" i="11" s="1"/>
  <c r="S95" i="11"/>
  <c r="S96" i="11"/>
  <c r="S97" i="11"/>
  <c r="S98" i="11"/>
  <c r="S99" i="11"/>
  <c r="L111" i="11"/>
  <c r="L112" i="11"/>
  <c r="L113" i="11"/>
  <c r="L114" i="11"/>
  <c r="B112" i="11"/>
  <c r="G112" i="11" s="1"/>
  <c r="D120" i="11" s="1"/>
  <c r="P24" i="11"/>
  <c r="P25" i="11"/>
  <c r="G16" i="11"/>
  <c r="D112" i="11"/>
  <c r="E57" i="12"/>
  <c r="E59" i="12" s="1"/>
  <c r="E128" i="12" s="1"/>
  <c r="G16" i="12"/>
  <c r="E126" i="12"/>
  <c r="R42" i="14" l="1"/>
  <c r="P36" i="14"/>
  <c r="D49" i="14" s="1"/>
  <c r="D100" i="14"/>
  <c r="G20" i="14" s="1"/>
  <c r="P20" i="14" s="1"/>
  <c r="P27" i="14" s="1"/>
  <c r="D48" i="14" s="1"/>
  <c r="G114" i="14"/>
  <c r="G44" i="14" s="1"/>
  <c r="S44" i="14" s="1"/>
  <c r="D50" i="14" s="1"/>
  <c r="P27" i="12"/>
  <c r="D48" i="12" s="1"/>
  <c r="D50" i="12"/>
  <c r="G104" i="11"/>
  <c r="D118" i="11" s="1"/>
  <c r="P27" i="11"/>
  <c r="D116" i="11" s="1"/>
  <c r="E57" i="14"/>
  <c r="G16" i="14"/>
  <c r="D51" i="14" l="1"/>
  <c r="D52" i="14" s="1"/>
  <c r="D121" i="14" s="1"/>
  <c r="D119" i="11"/>
  <c r="D121" i="11" s="1"/>
  <c r="L116" i="11" s="1"/>
  <c r="D51" i="12"/>
  <c r="E126" i="14"/>
  <c r="E51" i="14" l="1"/>
  <c r="L48" i="14"/>
  <c r="L49" i="14" s="1"/>
  <c r="L50" i="14" s="1"/>
  <c r="G52" i="14" s="1"/>
  <c r="E56" i="14" s="1"/>
  <c r="D52" i="12"/>
  <c r="E51" i="12"/>
  <c r="G52" i="12"/>
  <c r="L118" i="11"/>
  <c r="G121" i="11" s="1"/>
  <c r="L117" i="11"/>
  <c r="G121" i="14" l="1"/>
  <c r="G54" i="14"/>
  <c r="G123" i="14" s="1"/>
  <c r="G54" i="12"/>
  <c r="G123" i="12" s="1"/>
  <c r="G121" i="12"/>
  <c r="E56" i="12"/>
  <c r="E125" i="12" s="1"/>
  <c r="E125" i="11"/>
  <c r="E128" i="11" s="1"/>
  <c r="G123" i="11"/>
  <c r="D121" i="12"/>
  <c r="L48" i="12"/>
  <c r="E125" i="14"/>
  <c r="E59" i="14"/>
  <c r="E128" i="14" s="1"/>
  <c r="L49" i="12" l="1"/>
  <c r="L50" i="12" s="1"/>
</calcChain>
</file>

<file path=xl/sharedStrings.xml><?xml version="1.0" encoding="utf-8"?>
<sst xmlns="http://schemas.openxmlformats.org/spreadsheetml/2006/main" count="410" uniqueCount="217">
  <si>
    <t>BOND COMPUTATION FORM</t>
  </si>
  <si>
    <t xml:space="preserve">    VI.    SPECIAL UNDERGROUND FACTORS (UNDERGROUND AND PREPARATION PLANT ONLY)</t>
  </si>
  <si>
    <t xml:space="preserve">      (APPLICANT NAME)</t>
  </si>
  <si>
    <t xml:space="preserve">  ( APPLICATION # AND TYPE)</t>
  </si>
  <si>
    <t xml:space="preserve">                 1.      ARE ENTRIES LOCATED DOWN  DIP FROM AREA TO BE MINED   </t>
  </si>
  <si>
    <t>(</t>
  </si>
  <si>
    <t>)</t>
  </si>
  <si>
    <t>YES</t>
  </si>
  <si>
    <t>NO</t>
  </si>
  <si>
    <t xml:space="preserve">                           IF YES $1,000</t>
  </si>
  <si>
    <t>AMOUNT</t>
  </si>
  <si>
    <t xml:space="preserve">BOND CALCULATION FOR        </t>
  </si>
  <si>
    <t xml:space="preserve">       I.    FROM APPLICATION, LIST (Acreage)</t>
  </si>
  <si>
    <t>IF YES</t>
  </si>
  <si>
    <t xml:space="preserve">                 3.      ENTRIES</t>
  </si>
  <si>
    <t xml:space="preserve">                          MORE THAN 3 ENTRIES?</t>
  </si>
  <si>
    <t xml:space="preserve">                          IF YES, HOW MANY MORE?</t>
  </si>
  <si>
    <t>x$1,000</t>
  </si>
  <si>
    <t xml:space="preserve">                  4.     IS THERE ANY OPEN STOCKPILE?</t>
  </si>
  <si>
    <t xml:space="preserve">      II.    BASE BOND</t>
  </si>
  <si>
    <t xml:space="preserve">                          IF YES ,$500</t>
  </si>
  <si>
    <t>OPEN CHUTE $500</t>
  </si>
  <si>
    <t>CONVERED BELT $0</t>
  </si>
  <si>
    <t>CLOSED CHUTE $0</t>
  </si>
  <si>
    <t>DUMP $250</t>
  </si>
  <si>
    <t>AC.X $2,500</t>
  </si>
  <si>
    <t>OPEN BELT $250</t>
  </si>
  <si>
    <r>
      <t xml:space="preserve">      2-10 AC.</t>
    </r>
    <r>
      <rPr>
        <u/>
        <sz val="8"/>
        <rFont val="Arial"/>
        <family val="2"/>
      </rPr>
      <t xml:space="preserve">       </t>
    </r>
  </si>
  <si>
    <r>
      <t xml:space="preserve">      +10  AC.</t>
    </r>
    <r>
      <rPr>
        <u/>
        <sz val="8"/>
        <rFont val="Arial"/>
        <family val="2"/>
      </rPr>
      <t xml:space="preserve">    </t>
    </r>
  </si>
  <si>
    <t xml:space="preserve">       VII.  OTHER FACTORS</t>
  </si>
  <si>
    <t xml:space="preserve">                         ALTERNATE TOPSOIL</t>
  </si>
  <si>
    <t>ACRES X $500 =</t>
  </si>
  <si>
    <t xml:space="preserve">   SUB TOTAL OF II</t>
  </si>
  <si>
    <t xml:space="preserve">                         MULCHING VARIANCE</t>
  </si>
  <si>
    <t>ACRES X $200 =</t>
  </si>
  <si>
    <t xml:space="preserve">                         CRITICAL HABITAT AREA</t>
  </si>
  <si>
    <t xml:space="preserve">     III.    SITE FACTORS</t>
  </si>
  <si>
    <t xml:space="preserve">                         PRIME FARMLAND</t>
  </si>
  <si>
    <t>ACRES X $1500 =</t>
  </si>
  <si>
    <t xml:space="preserve">                         STREAM CHANNEL ALTERATION</t>
  </si>
  <si>
    <t xml:space="preserve">                          CALCULATE (NEUTRALIZATION POTENTIAL/POTENTIAL ACIDITY)</t>
  </si>
  <si>
    <t>LESS THAN .9 ($1,000/ACRE)</t>
  </si>
  <si>
    <t>&gt;1.25 TO 2.00($300/ACRE)</t>
  </si>
  <si>
    <t>.9 TO 1.25 ($600/ACRE)</t>
  </si>
  <si>
    <t>GREATER THAN 2.00($0/ACRE)</t>
  </si>
  <si>
    <t xml:space="preserve">                         SUBTOTAL OF AMOUNTS IN VI AND VII</t>
  </si>
  <si>
    <t>RATE / ACRE</t>
  </si>
  <si>
    <t>(CARRY TO FINAL COMPUTATION)</t>
  </si>
  <si>
    <r>
      <t xml:space="preserve">          </t>
    </r>
    <r>
      <rPr>
        <sz val="8"/>
        <rFont val="Arial"/>
        <family val="2"/>
      </rPr>
      <t xml:space="preserve">    2.     WATER QUALITY PROBLEMS</t>
    </r>
    <r>
      <rPr>
        <sz val="10"/>
        <rFont val="Arial"/>
      </rPr>
      <t xml:space="preserve"> </t>
    </r>
  </si>
  <si>
    <t>PH LESS THAN 6.0</t>
  </si>
  <si>
    <t>ACIDITY GREATER THAN ALKALINITY</t>
  </si>
  <si>
    <t>IRON GREATER THAN 6.0 MG/LITER</t>
  </si>
  <si>
    <t>MANGANESE GREATER THAN 4.0 MG/LITER</t>
  </si>
  <si>
    <t>IF ANY PRE-MINING PROBLEMS IDENTIFIED, $500/ACRE</t>
  </si>
  <si>
    <t xml:space="preserve">     IV.    SURFACE SITE FACTORS (SURFACE MINES ONLY)</t>
  </si>
  <si>
    <t>=</t>
  </si>
  <si>
    <t>5:1TO 0 ($0/ACRE)</t>
  </si>
  <si>
    <t>&gt;20:1 TO 30:1 ($400/ACRE)</t>
  </si>
  <si>
    <t>&gt;5:1 TO 10:1 ($100/ACRE)</t>
  </si>
  <si>
    <t>&gt;30:1 TO 40:1 ($550/ACRE)</t>
  </si>
  <si>
    <t xml:space="preserve">      FINAL COMPUTATION</t>
  </si>
  <si>
    <t>&gt;10:1 TO 20:1 ($250/ACRE)</t>
  </si>
  <si>
    <t>OVER 40:1 ($700/ACRRE)</t>
  </si>
  <si>
    <t xml:space="preserve">        SUBTOTAL OF II</t>
  </si>
  <si>
    <t xml:space="preserve">        SUBTOTAL OF V</t>
  </si>
  <si>
    <t>+</t>
  </si>
  <si>
    <t xml:space="preserve">        SUBTOTAL OF VIII</t>
  </si>
  <si>
    <t xml:space="preserve">        GRAND TOTAL</t>
  </si>
  <si>
    <t>0 TO 6 ($0/ACRE)</t>
  </si>
  <si>
    <t>&gt;20 TO 30 ($500/ACRE)</t>
  </si>
  <si>
    <t>&gt;6 TO 12 (&amp;100/ACRE)</t>
  </si>
  <si>
    <t>OVER 30 ($750/ACRE)</t>
  </si>
  <si>
    <t>ROUNDS TO</t>
  </si>
  <si>
    <t>&gt;12 TO 20 ($300/ACRE)</t>
  </si>
  <si>
    <t>BOND REQUIRED:</t>
  </si>
  <si>
    <t xml:space="preserve">                          60% SHALE OVERBURDEN ON SLOPES&gt; 20% OR EXISTING SLIDES</t>
  </si>
  <si>
    <t>$ 150/ACRE</t>
  </si>
  <si>
    <t xml:space="preserve">                          OPERATION WIL INTERSECT FLOODED UG MINE</t>
  </si>
  <si>
    <t>$ 100/ACRE</t>
  </si>
  <si>
    <t xml:space="preserve">                          OPERATION WILL INTERSECT FLOODED AUGER HOLES</t>
  </si>
  <si>
    <t>AVERAGE RATE/ACRE=</t>
  </si>
  <si>
    <t>COMMENTS:</t>
  </si>
  <si>
    <t>REVIEWER:</t>
  </si>
  <si>
    <t>DATE:</t>
  </si>
  <si>
    <t>SUPERVISOR:</t>
  </si>
  <si>
    <t>BONDING &amp; ACRE FEE</t>
  </si>
  <si>
    <r>
      <t>ATTENTION:</t>
    </r>
    <r>
      <rPr>
        <sz val="12"/>
        <rFont val="Arial"/>
        <family val="2"/>
      </rPr>
      <t xml:space="preserve"> This summary is </t>
    </r>
    <r>
      <rPr>
        <u/>
        <sz val="12"/>
        <rFont val="Arial"/>
        <family val="2"/>
      </rPr>
      <t>only</t>
    </r>
    <r>
      <rPr>
        <sz val="12"/>
        <rFont val="Arial"/>
        <family val="2"/>
      </rPr>
      <t xml:space="preserve"> for all surface disturbances effected by this </t>
    </r>
    <r>
      <rPr>
        <b/>
        <sz val="12"/>
        <rFont val="Arial"/>
        <family val="2"/>
      </rPr>
      <t xml:space="preserve"> </t>
    </r>
  </si>
  <si>
    <t>permitting action and all other areas for which a plan has been perviously approved and</t>
  </si>
  <si>
    <t>for which bond has not been posted as of the date of this letter.</t>
  </si>
  <si>
    <t>The bond and acre fees required for the surface disturbance of this permit:</t>
  </si>
  <si>
    <t xml:space="preserve">Amount Required </t>
  </si>
  <si>
    <t>Surface Acres</t>
  </si>
  <si>
    <t>Comment</t>
  </si>
  <si>
    <t>Acreage Fees</t>
  </si>
  <si>
    <t>Page 2</t>
  </si>
  <si>
    <t xml:space="preserve">                   (REGIONAL OFFICE)</t>
  </si>
  <si>
    <t>INCREMENTAL</t>
  </si>
  <si>
    <t>INC. NO.</t>
  </si>
  <si>
    <t>Increment Number</t>
  </si>
  <si>
    <t>Currently Posted</t>
  </si>
  <si>
    <t>(APPLICATION # AND TYPE)</t>
  </si>
  <si>
    <t>SINGLE AREA</t>
  </si>
  <si>
    <t xml:space="preserve">               A.     ROAD AND MANAGEMENT AREAS</t>
  </si>
  <si>
    <t>AC.X $2500</t>
  </si>
  <si>
    <t>AC.X $10,000</t>
  </si>
  <si>
    <t>AC.X $7500</t>
  </si>
  <si>
    <t>AC.X $2000</t>
  </si>
  <si>
    <t>AC.X $3500</t>
  </si>
  <si>
    <t xml:space="preserve">      0-2 AC.</t>
  </si>
  <si>
    <t>0-2 AC.  1X $20,000</t>
  </si>
  <si>
    <t xml:space="preserve"> 2-10 AC - AC X $4000 </t>
  </si>
  <si>
    <t xml:space="preserve"> +10 AC-AC X $2500</t>
  </si>
  <si>
    <t xml:space="preserve">  </t>
  </si>
  <si>
    <t xml:space="preserve"> (CARRY TO FINAL COMPUTATION)</t>
  </si>
  <si>
    <t>BONDS CURRENTLY POSTED</t>
  </si>
  <si>
    <t>ADDITIONAL BOND REQUIRED</t>
  </si>
  <si>
    <t xml:space="preserve">                              (DIVERTS OR ALTERS AN INTERMITTENT STREAM WITH ONE SQ. </t>
  </si>
  <si>
    <t xml:space="preserve">                               MILE OF DRAINGE OR ANY PERENNIAL STEAM)</t>
  </si>
  <si>
    <t xml:space="preserve">               C.    REFUSE DISPOSAL AREAS</t>
  </si>
  <si>
    <t>ID</t>
  </si>
  <si>
    <t>ACREAGE</t>
  </si>
  <si>
    <t xml:space="preserve">               D.    PRE-LAW MINED AREAS</t>
  </si>
  <si>
    <t xml:space="preserve">               E.    UG FACEUP &amp; ASSOCIATED SPOIL STORAGE</t>
  </si>
  <si>
    <t xml:space="preserve">               H.    UNDERGROUND OR AUGER OPERATION AREA</t>
  </si>
  <si>
    <t xml:space="preserve">               I.    TOTAL PERMIT AREA</t>
  </si>
  <si>
    <t xml:space="preserve">                2.       OFF-BENCH PONDS (Acreages-I.B)</t>
  </si>
  <si>
    <t xml:space="preserve">                3.       REFUSE DISPOSAL AREAS (Acreage-I.C)</t>
  </si>
  <si>
    <t xml:space="preserve">                4.       RECLAMATION OF PRE-LAW AREAS (I.D)</t>
  </si>
  <si>
    <t xml:space="preserve">                5.       SURFACE DISTURBANCE (I.F)</t>
  </si>
  <si>
    <t xml:space="preserve">                6.       UG FACEUP (I.E)           </t>
  </si>
  <si>
    <t xml:space="preserve">                1.        ROAD AND MINE MANAGEMENT (I.A)</t>
  </si>
  <si>
    <t xml:space="preserve">               F.    SURFACE DISTURBANCE (LESS A+B+C+D+E)</t>
  </si>
  <si>
    <t xml:space="preserve">               G.     TOTAL SURFACE DISTURBANCE(A+B+C+D+E+F)</t>
  </si>
  <si>
    <t>Rounded Acreage</t>
  </si>
  <si>
    <t>COSTS</t>
  </si>
  <si>
    <t>STRUCTURES</t>
  </si>
  <si>
    <t xml:space="preserve">      # OF </t>
  </si>
  <si>
    <t xml:space="preserve">         ESTIMATED DEMOLITION COSTS</t>
  </si>
  <si>
    <t>TOTAL ROUNDED ACREAGE</t>
  </si>
  <si>
    <t xml:space="preserve">              FACILITY TYPE</t>
  </si>
  <si>
    <t xml:space="preserve">               B.    OFF BENCH SILT CONTROL AREAS (Page 3)</t>
  </si>
  <si>
    <t xml:space="preserve">     Medium-Sized Facilities (&lt; 1,500 sq.ft.- two floors) </t>
  </si>
  <si>
    <t xml:space="preserve">     Small Facitilities (&lt; 1,000 sq. ft-one floor)</t>
  </si>
  <si>
    <t xml:space="preserve">     Large Facilities (Less than 3,000 sq.ft.)</t>
  </si>
  <si>
    <t xml:space="preserve">     Super-Large Facilities (Over 3,000 sq.ft.)</t>
  </si>
  <si>
    <t xml:space="preserve">                1.B   LTT - AGENCY COST ESTIMATE</t>
  </si>
  <si>
    <t xml:space="preserve">                 1.A   LTT-PERMITTEE ANNUAL COST ESTIMATE</t>
  </si>
  <si>
    <t>OFF BENCH SILT CONTROL ACREAGE CALCULATON WORKSHEET</t>
  </si>
  <si>
    <t>Revised: 990723</t>
  </si>
  <si>
    <t>SNGL. AREA</t>
  </si>
  <si>
    <t xml:space="preserve">                 A.     ROAD AND MANAGEMENT AREAS</t>
  </si>
  <si>
    <t xml:space="preserve">                 B.    OFF BENCH SILT CONTROL AREAS</t>
  </si>
  <si>
    <t xml:space="preserve">                 C.    PRE-LAW MINED AREAS</t>
  </si>
  <si>
    <t xml:space="preserve">                 D.    UG FACEUP &amp; ASSOCIATED SPOIL STORAGE</t>
  </si>
  <si>
    <t xml:space="preserve">                 E.    SURFACE DISTURBANCE (LESS A+B+C+D)</t>
  </si>
  <si>
    <t xml:space="preserve">                 F.     TOTAL SURFACE DISTURBANCE(A+B+C+D+E)</t>
  </si>
  <si>
    <t xml:space="preserve">                 G.    UNDERGROUND OR AUGER OPERATION AREA</t>
  </si>
  <si>
    <t xml:space="preserve">                 H.    TOTAL PERMIT AREA</t>
  </si>
  <si>
    <t xml:space="preserve">                1.       ROAD AND MINE MANAGEMENT (A)</t>
  </si>
  <si>
    <t>AC.X $1,000</t>
  </si>
  <si>
    <t xml:space="preserve">                2.       PERMANENT OFF-BENCH PONDS (#)</t>
  </si>
  <si>
    <t>EA.X $1,500</t>
  </si>
  <si>
    <t xml:space="preserve">                3.       NON-PERMANENT OFF-BENCH PONDS (#)</t>
  </si>
  <si>
    <t>EA.X $5,000</t>
  </si>
  <si>
    <t xml:space="preserve">                4.       RECLAMATION OF PRE-LAW AREAS (C)</t>
  </si>
  <si>
    <t>AC.X $1,500</t>
  </si>
  <si>
    <t xml:space="preserve">                5.       SURFACE DISTURBANCE (E)</t>
  </si>
  <si>
    <t>6. (D) 0-2 AC.  1X $20,000</t>
  </si>
  <si>
    <t xml:space="preserve">   (CARRY TO FINAL COMPUTATION SECTION)</t>
  </si>
  <si>
    <t xml:space="preserve">                  1.     ACID OVERBURDEN</t>
  </si>
  <si>
    <t xml:space="preserve">                 1.       STRIPPING RATIO (RATIO OF VOLUME OF OVERBURDEN TO VOLUME OF COAL)</t>
  </si>
  <si>
    <t xml:space="preserve">                 2.       AVERAGE POSTMINING SLOPE (DEGREES)</t>
  </si>
  <si>
    <t xml:space="preserve">                 3.      SPECIAL CONDITIONS</t>
  </si>
  <si>
    <r>
      <t xml:space="preserve">                    </t>
    </r>
    <r>
      <rPr>
        <sz val="8"/>
        <rFont val="Arial"/>
        <family val="2"/>
      </rPr>
      <t>SIGNIFICANT GROUND WATER RESOURCES POTENTIALLY AFFECTED</t>
    </r>
  </si>
  <si>
    <t>RATE/ACRE</t>
  </si>
  <si>
    <t xml:space="preserve">    V.      SUBTOTAL</t>
  </si>
  <si>
    <t>(TOTAL OF IV [3])</t>
  </si>
  <si>
    <t>ACRES (C+D+E) SURFACE DISTURBANCE AREAS X</t>
  </si>
  <si>
    <t>/ACRES (TOTAL OF</t>
  </si>
  <si>
    <t>RATE/ACRE IN SECTIONS III AND IV)   = SUBTOTAL OF V</t>
  </si>
  <si>
    <r>
      <t>(</t>
    </r>
    <r>
      <rPr>
        <sz val="8"/>
        <rFont val="Arial"/>
        <family val="2"/>
      </rPr>
      <t>CARRY TO FINAL COMPUTATION SECTION</t>
    </r>
    <r>
      <rPr>
        <sz val="10"/>
        <rFont val="Arial"/>
        <family val="2"/>
      </rPr>
      <t>)</t>
    </r>
  </si>
  <si>
    <t xml:space="preserve">                 2.      WATER TRETMENT</t>
  </si>
  <si>
    <t xml:space="preserve">                          IS PERMIT FOR ACID SEAM OR DOES THE ROOF OR FLOOR STRATA SHOW EVIDENCE OF CREATION</t>
  </si>
  <si>
    <t xml:space="preserve">                          OF ACID DRAINAGE?</t>
  </si>
  <si>
    <t xml:space="preserve">                          (A) MINING UP DIP (PREVIOUSLY PERMITTED ENTRIES)           </t>
  </si>
  <si>
    <t xml:space="preserve">                          (B) MINING DOWN DIP</t>
  </si>
  <si>
    <r>
      <t xml:space="preserve">             </t>
    </r>
    <r>
      <rPr>
        <sz val="8"/>
        <rFont val="Arial"/>
        <family val="2"/>
      </rPr>
      <t xml:space="preserve"> 5.    CONVEYANCE METHOD</t>
    </r>
  </si>
  <si>
    <t xml:space="preserve">                         (DIVERTS OR ALTERS AN INTERMITTENT STREAM WITH ONE SQ. </t>
  </si>
  <si>
    <t xml:space="preserve">                          MILE OF DRIANGE OR ANY PERENNIAL STEAM)</t>
  </si>
  <si>
    <t xml:space="preserve">      VIII.  SUBTOTAL</t>
  </si>
  <si>
    <t xml:space="preserve">       IX.   BOND CREDITS (SURFACE MINES ONLY)</t>
  </si>
  <si>
    <t xml:space="preserve">                         PERMIT SIZE(F FOR ENTIRE PERMIT)</t>
  </si>
  <si>
    <t>25 ACRES OR LESS (0)</t>
  </si>
  <si>
    <t>&gt;50 TO 100 ACRES (200/ACRE)</t>
  </si>
  <si>
    <t>&gt;25 TO 50 ACRES (100/ACRE)</t>
  </si>
  <si>
    <t>OVER 100 ACRES (300/ACRE)</t>
  </si>
  <si>
    <t>X</t>
  </si>
  <si>
    <t>ACRES(F FROM I)</t>
  </si>
  <si>
    <t xml:space="preserve">        BOND CREITS IX</t>
  </si>
  <si>
    <t>-</t>
  </si>
  <si>
    <t xml:space="preserve">        TOTAL BOND</t>
  </si>
  <si>
    <t>CURRENTLY BOND (POSTED)</t>
  </si>
  <si>
    <t>ADDITIONAL BOND (REQUIRED)</t>
  </si>
  <si>
    <t>ACREAGE(F)</t>
  </si>
  <si>
    <t>5.00</t>
  </si>
  <si>
    <t>010000</t>
  </si>
  <si>
    <t>ACREAGE(I.G)</t>
  </si>
  <si>
    <t>DEMOLITION COSTS WORKSHEET FOR PREP PLANTS/LOADOUTS</t>
  </si>
  <si>
    <t xml:space="preserve">       III.  OTHER FACTORS</t>
  </si>
  <si>
    <t xml:space="preserve">        SUBTOTAL OF III</t>
  </si>
  <si>
    <t xml:space="preserve">        SUBTOTAL OF IV</t>
  </si>
  <si>
    <t xml:space="preserve">                 2.   DEMOLITION &amp; DISPOSAL (PAGE 2)</t>
  </si>
  <si>
    <t xml:space="preserve">       IV.  LONG TERM TREATMENT &amp; DEMOLITION COSTS</t>
  </si>
  <si>
    <t>Revised: 140114</t>
  </si>
  <si>
    <t>X 25 LTT MULTIPLIER =</t>
  </si>
  <si>
    <t>May 2014</t>
  </si>
  <si>
    <t>S  U  M  M A  R 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</si>
</sst>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0&quot; x $2500 =&quot;"/>
    <numFmt numFmtId="165" formatCode="#,##0.000"/>
    <numFmt numFmtId="166" formatCode="&quot;$&quot;#,##0.00"/>
    <numFmt numFmtId="167" formatCode="mmmm\ d\,\ yyyy"/>
    <numFmt numFmtId="168" formatCode="&quot;$&quot;#,##0"/>
    <numFmt numFmtId="169" formatCode="0.00&quot; x $3500 =&quot;"/>
  </numFmts>
  <fonts count="49">
    <font>
      <sz val="10"/>
      <name val="Arial"/>
    </font>
    <font>
      <b/>
      <sz val="10"/>
      <name val="Arial"/>
    </font>
    <font>
      <sz val="10"/>
      <name val="Arial"/>
    </font>
    <font>
      <b/>
      <i/>
      <sz val="12"/>
      <name val="CG Times"/>
      <family val="1"/>
    </font>
    <font>
      <sz val="8"/>
      <name val="Arial"/>
      <family val="2"/>
    </font>
    <font>
      <b/>
      <i/>
      <sz val="14"/>
      <name val="CG Times"/>
      <family val="1"/>
    </font>
    <font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2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9"/>
      <name val="Arial"/>
    </font>
    <font>
      <sz val="8"/>
      <name val="Arial"/>
    </font>
    <font>
      <sz val="7"/>
      <name val="Arial"/>
      <family val="2"/>
    </font>
    <font>
      <sz val="7"/>
      <name val="Arial"/>
    </font>
    <font>
      <sz val="8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u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12"/>
      <name val="CG TIMES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4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7" borderId="0" applyNumberFormat="0" applyBorder="0" applyAlignment="0" applyProtection="0"/>
    <xf numFmtId="0" fontId="7" fillId="0" borderId="0"/>
    <xf numFmtId="0" fontId="2" fillId="4" borderId="7" applyNumberFormat="0" applyFont="0" applyAlignment="0" applyProtection="0"/>
    <xf numFmtId="0" fontId="31" fillId="16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5" fontId="1" fillId="0" borderId="11" xfId="0" applyNumberFormat="1" applyFont="1" applyBorder="1"/>
    <xf numFmtId="1" fontId="0" fillId="0" borderId="0" xfId="0" applyNumberFormat="1" applyProtection="1">
      <protection locked="0" hidden="1"/>
    </xf>
    <xf numFmtId="5" fontId="0" fillId="0" borderId="10" xfId="0" applyNumberFormat="1" applyBorder="1"/>
    <xf numFmtId="6" fontId="4" fillId="0" borderId="0" xfId="0" applyNumberFormat="1" applyFont="1"/>
    <xf numFmtId="0" fontId="4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Border="1"/>
    <xf numFmtId="0" fontId="0" fillId="0" borderId="0" xfId="0" applyFill="1"/>
    <xf numFmtId="5" fontId="2" fillId="0" borderId="11" xfId="0" applyNumberFormat="1" applyFont="1" applyBorder="1"/>
    <xf numFmtId="0" fontId="7" fillId="0" borderId="0" xfId="0" applyFont="1"/>
    <xf numFmtId="7" fontId="4" fillId="0" borderId="0" xfId="0" applyNumberFormat="1" applyFont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0" fillId="18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18" borderId="0" xfId="0" applyFont="1" applyFill="1" applyProtection="1">
      <protection locked="0"/>
    </xf>
    <xf numFmtId="0" fontId="0" fillId="18" borderId="0" xfId="0" applyFill="1" applyProtection="1">
      <protection locked="0"/>
    </xf>
    <xf numFmtId="0" fontId="0" fillId="19" borderId="0" xfId="0" applyFill="1" applyProtection="1">
      <protection locked="0"/>
    </xf>
    <xf numFmtId="5" fontId="0" fillId="18" borderId="10" xfId="0" applyNumberForma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Alignment="1">
      <alignment horizontal="right"/>
    </xf>
    <xf numFmtId="0" fontId="0" fillId="0" borderId="0" xfId="0" applyNumberFormat="1" applyFill="1" applyBorder="1"/>
    <xf numFmtId="0" fontId="0" fillId="18" borderId="0" xfId="0" applyFill="1" applyBorder="1" applyProtection="1">
      <protection locked="0"/>
    </xf>
    <xf numFmtId="5" fontId="4" fillId="0" borderId="0" xfId="28" applyNumberFormat="1" applyFont="1" applyBorder="1"/>
    <xf numFmtId="0" fontId="0" fillId="18" borderId="0" xfId="0" applyFill="1" applyBorder="1" applyAlignment="1" applyProtection="1">
      <alignment horizontal="center"/>
      <protection locked="0"/>
    </xf>
    <xf numFmtId="5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6" fontId="4" fillId="0" borderId="0" xfId="28" applyNumberFormat="1" applyFont="1" applyBorder="1"/>
    <xf numFmtId="5" fontId="4" fillId="0" borderId="0" xfId="0" applyNumberFormat="1" applyFont="1" applyBorder="1"/>
    <xf numFmtId="0" fontId="0" fillId="20" borderId="0" xfId="0" applyFill="1" applyBorder="1" applyProtection="1"/>
    <xf numFmtId="166" fontId="7" fillId="0" borderId="13" xfId="0" applyNumberFormat="1" applyFont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7" fillId="0" borderId="10" xfId="0" applyFont="1" applyFill="1" applyBorder="1" applyProtection="1">
      <protection locked="0"/>
    </xf>
    <xf numFmtId="14" fontId="0" fillId="0" borderId="0" xfId="0" applyNumberFormat="1" applyAlignment="1">
      <alignment horizontal="right"/>
    </xf>
    <xf numFmtId="14" fontId="17" fillId="0" borderId="10" xfId="0" applyNumberFormat="1" applyFont="1" applyFill="1" applyBorder="1" applyAlignment="1" applyProtection="1">
      <protection locked="0"/>
    </xf>
    <xf numFmtId="14" fontId="0" fillId="0" borderId="0" xfId="0" applyNumberFormat="1" applyAlignment="1">
      <alignment horizontal="left"/>
    </xf>
    <xf numFmtId="14" fontId="0" fillId="18" borderId="10" xfId="0" applyNumberFormat="1" applyFill="1" applyBorder="1" applyAlignment="1" applyProtection="1">
      <alignment horizontal="right"/>
      <protection locked="0"/>
    </xf>
    <xf numFmtId="14" fontId="4" fillId="0" borderId="0" xfId="0" applyNumberFormat="1" applyFont="1"/>
    <xf numFmtId="14" fontId="0" fillId="0" borderId="0" xfId="0" applyNumberFormat="1"/>
    <xf numFmtId="168" fontId="2" fillId="0" borderId="10" xfId="28" applyNumberFormat="1" applyBorder="1" applyAlignment="1">
      <alignment horizontal="right"/>
    </xf>
    <xf numFmtId="168" fontId="1" fillId="0" borderId="11" xfId="0" applyNumberFormat="1" applyFont="1" applyBorder="1" applyAlignment="1">
      <alignment horizontal="right"/>
    </xf>
    <xf numFmtId="168" fontId="1" fillId="0" borderId="10" xfId="0" applyNumberFormat="1" applyFont="1" applyBorder="1" applyAlignment="1">
      <alignment horizontal="right"/>
    </xf>
    <xf numFmtId="0" fontId="16" fillId="0" borderId="10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Fill="1" applyBorder="1" applyProtection="1"/>
    <xf numFmtId="0" fontId="34" fillId="0" borderId="0" xfId="0" applyFont="1" applyFill="1" applyBorder="1" applyProtection="1"/>
    <xf numFmtId="0" fontId="0" fillId="0" borderId="0" xfId="0" applyBorder="1" applyProtection="1"/>
    <xf numFmtId="169" fontId="4" fillId="0" borderId="0" xfId="0" applyNumberFormat="1" applyFont="1" applyBorder="1"/>
    <xf numFmtId="5" fontId="4" fillId="0" borderId="0" xfId="28" applyNumberFormat="1" applyFont="1" applyBorder="1" applyProtection="1"/>
    <xf numFmtId="0" fontId="35" fillId="0" borderId="0" xfId="0" applyFont="1"/>
    <xf numFmtId="168" fontId="0" fillId="0" borderId="14" xfId="0" applyNumberFormat="1" applyBorder="1" applyAlignment="1">
      <alignment horizontal="right"/>
    </xf>
    <xf numFmtId="0" fontId="0" fillId="0" borderId="0" xfId="0" applyProtection="1"/>
    <xf numFmtId="0" fontId="36" fillId="0" borderId="0" xfId="0" applyFont="1" applyBorder="1"/>
    <xf numFmtId="168" fontId="7" fillId="0" borderId="10" xfId="28" applyNumberFormat="1" applyFont="1" applyBorder="1" applyAlignment="1">
      <alignment horizontal="right"/>
    </xf>
    <xf numFmtId="0" fontId="37" fillId="0" borderId="0" xfId="0" applyFont="1"/>
    <xf numFmtId="168" fontId="0" fillId="0" borderId="10" xfId="0" applyNumberFormat="1" applyBorder="1" applyAlignment="1">
      <alignment horizontal="right"/>
    </xf>
    <xf numFmtId="0" fontId="17" fillId="18" borderId="10" xfId="0" applyNumberFormat="1" applyFont="1" applyFill="1" applyBorder="1" applyAlignment="1" applyProtection="1">
      <alignment horizontal="right"/>
    </xf>
    <xf numFmtId="0" fontId="38" fillId="0" borderId="0" xfId="0" applyFont="1" applyFill="1" applyAlignment="1">
      <alignment horizontal="right" vertical="top"/>
    </xf>
    <xf numFmtId="0" fontId="17" fillId="18" borderId="10" xfId="0" applyFont="1" applyFill="1" applyBorder="1" applyAlignment="1" applyProtection="1">
      <alignment horizontal="center"/>
    </xf>
    <xf numFmtId="0" fontId="17" fillId="0" borderId="0" xfId="0" applyFont="1"/>
    <xf numFmtId="168" fontId="0" fillId="18" borderId="10" xfId="0" applyNumberFormat="1" applyFill="1" applyBorder="1" applyProtection="1">
      <protection locked="0"/>
    </xf>
    <xf numFmtId="0" fontId="17" fillId="0" borderId="0" xfId="0" applyFont="1" applyAlignment="1">
      <alignment horizontal="center"/>
    </xf>
    <xf numFmtId="5" fontId="1" fillId="0" borderId="0" xfId="0" applyNumberFormat="1" applyFont="1" applyBorder="1"/>
    <xf numFmtId="0" fontId="0" fillId="0" borderId="0" xfId="0" applyBorder="1" applyAlignment="1">
      <alignment horizontal="center"/>
    </xf>
    <xf numFmtId="0" fontId="34" fillId="0" borderId="0" xfId="0" applyFont="1"/>
    <xf numFmtId="5" fontId="34" fillId="0" borderId="0" xfId="0" applyNumberFormat="1" applyFont="1" applyBorder="1"/>
    <xf numFmtId="0" fontId="39" fillId="0" borderId="0" xfId="0" applyFont="1" applyBorder="1"/>
    <xf numFmtId="14" fontId="0" fillId="0" borderId="0" xfId="0" applyNumberFormat="1" applyBorder="1"/>
    <xf numFmtId="2" fontId="0" fillId="18" borderId="10" xfId="0" applyNumberFormat="1" applyFill="1" applyBorder="1" applyProtection="1">
      <protection locked="0"/>
    </xf>
    <xf numFmtId="2" fontId="0" fillId="0" borderId="10" xfId="0" applyNumberFormat="1" applyFill="1" applyBorder="1"/>
    <xf numFmtId="2" fontId="8" fillId="21" borderId="10" xfId="0" applyNumberFormat="1" applyFont="1" applyFill="1" applyBorder="1"/>
    <xf numFmtId="168" fontId="7" fillId="0" borderId="10" xfId="0" applyNumberFormat="1" applyFont="1" applyBorder="1" applyAlignment="1">
      <alignment horizontal="right"/>
    </xf>
    <xf numFmtId="2" fontId="0" fillId="0" borderId="10" xfId="0" applyNumberFormat="1" applyBorder="1"/>
    <xf numFmtId="2" fontId="0" fillId="0" borderId="10" xfId="0" applyNumberFormat="1" applyFill="1" applyBorder="1" applyProtection="1"/>
    <xf numFmtId="2" fontId="7" fillId="0" borderId="10" xfId="28" applyNumberFormat="1" applyFont="1" applyBorder="1"/>
    <xf numFmtId="0" fontId="0" fillId="18" borderId="14" xfId="0" applyFill="1" applyBorder="1" applyAlignment="1" applyProtection="1">
      <protection locked="0"/>
    </xf>
    <xf numFmtId="14" fontId="0" fillId="18" borderId="14" xfId="0" applyNumberFormat="1" applyFill="1" applyBorder="1" applyAlignment="1" applyProtection="1">
      <alignment horizontal="center"/>
      <protection locked="0"/>
    </xf>
    <xf numFmtId="5" fontId="7" fillId="0" borderId="10" xfId="0" applyNumberFormat="1" applyFont="1" applyFill="1" applyBorder="1" applyProtection="1"/>
    <xf numFmtId="0" fontId="0" fillId="18" borderId="14" xfId="0" applyFill="1" applyBorder="1" applyAlignment="1" applyProtection="1">
      <alignment horizontal="center"/>
      <protection locked="0"/>
    </xf>
    <xf numFmtId="5" fontId="7" fillId="0" borderId="0" xfId="0" applyNumberFormat="1" applyFont="1" applyFill="1" applyBorder="1" applyProtection="1"/>
    <xf numFmtId="0" fontId="0" fillId="18" borderId="10" xfId="0" applyNumberFormat="1" applyFill="1" applyBorder="1" applyProtection="1">
      <protection locked="0"/>
    </xf>
    <xf numFmtId="0" fontId="0" fillId="0" borderId="10" xfId="0" applyNumberFormat="1" applyFill="1" applyBorder="1"/>
    <xf numFmtId="0" fontId="0" fillId="18" borderId="10" xfId="0" applyFill="1" applyBorder="1" applyProtection="1">
      <protection locked="0"/>
    </xf>
    <xf numFmtId="0" fontId="8" fillId="21" borderId="10" xfId="0" applyFont="1" applyFill="1" applyBorder="1"/>
    <xf numFmtId="164" fontId="4" fillId="0" borderId="10" xfId="0" applyNumberFormat="1" applyFont="1" applyBorder="1"/>
    <xf numFmtId="5" fontId="4" fillId="0" borderId="10" xfId="28" applyNumberFormat="1" applyFont="1" applyBorder="1"/>
    <xf numFmtId="6" fontId="4" fillId="0" borderId="10" xfId="28" applyNumberFormat="1" applyFont="1" applyBorder="1"/>
    <xf numFmtId="168" fontId="4" fillId="0" borderId="10" xfId="28" applyNumberFormat="1" applyFont="1" applyBorder="1" applyAlignment="1">
      <alignment horizontal="right"/>
    </xf>
    <xf numFmtId="168" fontId="4" fillId="0" borderId="10" xfId="0" applyNumberFormat="1" applyFont="1" applyBorder="1" applyAlignment="1">
      <alignment horizontal="right"/>
    </xf>
    <xf numFmtId="5" fontId="4" fillId="0" borderId="10" xfId="0" applyNumberFormat="1" applyFont="1" applyBorder="1"/>
    <xf numFmtId="168" fontId="17" fillId="18" borderId="10" xfId="0" applyNumberFormat="1" applyFont="1" applyFill="1" applyBorder="1" applyAlignment="1">
      <alignment horizontal="right"/>
    </xf>
    <xf numFmtId="0" fontId="4" fillId="18" borderId="0" xfId="0" applyFont="1" applyFill="1" applyAlignment="1">
      <alignment horizontal="right" vertical="top"/>
    </xf>
    <xf numFmtId="0" fontId="17" fillId="18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5" fontId="1" fillId="0" borderId="10" xfId="0" applyNumberFormat="1" applyFont="1" applyBorder="1"/>
    <xf numFmtId="14" fontId="0" fillId="18" borderId="10" xfId="0" applyNumberFormat="1" applyFill="1" applyBorder="1" applyProtection="1">
      <protection locked="0"/>
    </xf>
    <xf numFmtId="167" fontId="0" fillId="18" borderId="10" xfId="0" applyNumberFormat="1" applyFill="1" applyBorder="1" applyProtection="1">
      <protection locked="0"/>
    </xf>
    <xf numFmtId="0" fontId="8" fillId="0" borderId="0" xfId="0" applyFont="1" applyFill="1" applyBorder="1" applyProtection="1"/>
    <xf numFmtId="0" fontId="0" fillId="0" borderId="0" xfId="0" applyFill="1" applyProtection="1"/>
    <xf numFmtId="49" fontId="34" fillId="0" borderId="0" xfId="0" applyNumberFormat="1" applyFont="1"/>
    <xf numFmtId="14" fontId="0" fillId="0" borderId="0" xfId="0" applyNumberFormat="1" applyBorder="1" applyAlignment="1">
      <alignment horizontal="right"/>
    </xf>
    <xf numFmtId="14" fontId="0" fillId="0" borderId="0" xfId="0" applyNumberFormat="1" applyBorder="1" applyAlignment="1">
      <alignment horizontal="left"/>
    </xf>
    <xf numFmtId="2" fontId="0" fillId="0" borderId="0" xfId="0" applyNumberFormat="1"/>
    <xf numFmtId="168" fontId="17" fillId="0" borderId="10" xfId="0" applyNumberFormat="1" applyFont="1" applyBorder="1" applyAlignment="1">
      <alignment horizontal="right"/>
    </xf>
    <xf numFmtId="5" fontId="7" fillId="0" borderId="10" xfId="0" applyNumberFormat="1" applyFont="1" applyBorder="1"/>
    <xf numFmtId="5" fontId="2" fillId="0" borderId="0" xfId="0" applyNumberFormat="1" applyFont="1" applyBorder="1"/>
    <xf numFmtId="5" fontId="0" fillId="0" borderId="0" xfId="0" applyNumberFormat="1" applyFill="1" applyBorder="1" applyProtection="1">
      <protection locked="0"/>
    </xf>
    <xf numFmtId="0" fontId="17" fillId="0" borderId="0" xfId="38" applyFont="1"/>
    <xf numFmtId="0" fontId="7" fillId="0" borderId="0" xfId="38"/>
    <xf numFmtId="0" fontId="7" fillId="0" borderId="0" xfId="38" applyAlignment="1">
      <alignment horizontal="center"/>
    </xf>
    <xf numFmtId="0" fontId="7" fillId="18" borderId="13" xfId="38" applyFill="1" applyBorder="1" applyAlignment="1" applyProtection="1">
      <alignment horizontal="center"/>
      <protection locked="0"/>
    </xf>
    <xf numFmtId="4" fontId="7" fillId="18" borderId="13" xfId="38" applyNumberFormat="1" applyFill="1" applyBorder="1" applyProtection="1">
      <protection locked="0"/>
    </xf>
    <xf numFmtId="0" fontId="7" fillId="0" borderId="10" xfId="38" applyBorder="1"/>
    <xf numFmtId="0" fontId="7" fillId="0" borderId="0" xfId="38" applyFill="1" applyBorder="1" applyProtection="1">
      <protection locked="0"/>
    </xf>
    <xf numFmtId="4" fontId="40" fillId="0" borderId="0" xfId="38" applyNumberFormat="1" applyFont="1" applyFill="1" applyBorder="1" applyProtection="1">
      <protection locked="0"/>
    </xf>
    <xf numFmtId="0" fontId="7" fillId="0" borderId="0" xfId="38" applyFill="1" applyBorder="1"/>
    <xf numFmtId="0" fontId="4" fillId="0" borderId="0" xfId="38" applyFont="1"/>
    <xf numFmtId="1" fontId="7" fillId="18" borderId="10" xfId="38" applyNumberFormat="1" applyFill="1" applyBorder="1" applyProtection="1">
      <protection locked="0"/>
    </xf>
    <xf numFmtId="168" fontId="7" fillId="0" borderId="10" xfId="38" applyNumberFormat="1" applyBorder="1"/>
    <xf numFmtId="1" fontId="7" fillId="0" borderId="0" xfId="38" applyNumberFormat="1" applyFill="1" applyBorder="1" applyProtection="1">
      <protection locked="0"/>
    </xf>
    <xf numFmtId="168" fontId="7" fillId="0" borderId="0" xfId="38" applyNumberFormat="1" applyFill="1" applyBorder="1"/>
    <xf numFmtId="1" fontId="7" fillId="0" borderId="10" xfId="38" applyNumberFormat="1" applyBorder="1"/>
    <xf numFmtId="3" fontId="7" fillId="0" borderId="10" xfId="38" applyNumberFormat="1" applyBorder="1"/>
    <xf numFmtId="0" fontId="41" fillId="0" borderId="0" xfId="0" applyFont="1" applyFill="1"/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14" fontId="42" fillId="0" borderId="0" xfId="0" applyNumberFormat="1" applyFont="1" applyFill="1"/>
    <xf numFmtId="0" fontId="43" fillId="0" borderId="0" xfId="0" applyFont="1" applyFill="1" applyBorder="1"/>
    <xf numFmtId="5" fontId="42" fillId="0" borderId="0" xfId="0" applyNumberFormat="1" applyFont="1" applyFill="1" applyBorder="1"/>
    <xf numFmtId="2" fontId="42" fillId="0" borderId="0" xfId="0" applyNumberFormat="1" applyFont="1" applyFill="1"/>
    <xf numFmtId="7" fontId="41" fillId="0" borderId="0" xfId="0" applyNumberFormat="1" applyFont="1" applyFill="1"/>
    <xf numFmtId="0" fontId="42" fillId="0" borderId="0" xfId="0" applyFont="1" applyFill="1" applyBorder="1"/>
    <xf numFmtId="0" fontId="42" fillId="0" borderId="10" xfId="0" applyFont="1" applyFill="1" applyBorder="1" applyAlignment="1" applyProtection="1">
      <protection locked="0"/>
    </xf>
    <xf numFmtId="0" fontId="42" fillId="0" borderId="0" xfId="0" applyFont="1" applyFill="1" applyBorder="1" applyProtection="1"/>
    <xf numFmtId="0" fontId="42" fillId="0" borderId="14" xfId="0" applyFont="1" applyFill="1" applyBorder="1" applyAlignment="1" applyProtection="1">
      <protection locked="0"/>
    </xf>
    <xf numFmtId="0" fontId="42" fillId="0" borderId="0" xfId="0" applyFont="1" applyFill="1" applyBorder="1" applyAlignment="1" applyProtection="1">
      <protection locked="0"/>
    </xf>
    <xf numFmtId="5" fontId="44" fillId="0" borderId="0" xfId="0" applyNumberFormat="1" applyFont="1" applyFill="1" applyBorder="1"/>
    <xf numFmtId="14" fontId="42" fillId="0" borderId="0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center"/>
      <protection locked="0"/>
    </xf>
    <xf numFmtId="0" fontId="45" fillId="0" borderId="0" xfId="0" applyFont="1" applyFill="1"/>
    <xf numFmtId="14" fontId="45" fillId="0" borderId="0" xfId="0" applyNumberFormat="1" applyFont="1" applyFill="1"/>
    <xf numFmtId="49" fontId="0" fillId="0" borderId="0" xfId="0" applyNumberFormat="1"/>
    <xf numFmtId="0" fontId="0" fillId="18" borderId="14" xfId="0" applyFill="1" applyBorder="1" applyAlignment="1" applyProtection="1"/>
    <xf numFmtId="0" fontId="0" fillId="18" borderId="14" xfId="0" applyNumberFormat="1" applyFill="1" applyBorder="1" applyAlignment="1" applyProtection="1"/>
    <xf numFmtId="5" fontId="42" fillId="0" borderId="0" xfId="0" applyNumberFormat="1" applyFont="1" applyFill="1" applyBorder="1" applyProtection="1"/>
    <xf numFmtId="14" fontId="0" fillId="18" borderId="14" xfId="0" applyNumberFormat="1" applyFill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7" fillId="0" borderId="13" xfId="0" applyFont="1" applyBorder="1" applyProtection="1">
      <protection locked="0"/>
    </xf>
    <xf numFmtId="165" fontId="7" fillId="0" borderId="13" xfId="0" applyNumberFormat="1" applyFont="1" applyBorder="1" applyProtection="1">
      <protection locked="0"/>
    </xf>
    <xf numFmtId="0" fontId="13" fillId="0" borderId="0" xfId="0" applyFont="1" applyProtection="1"/>
    <xf numFmtId="0" fontId="11" fillId="0" borderId="0" xfId="0" applyFont="1" applyProtection="1"/>
    <xf numFmtId="0" fontId="15" fillId="0" borderId="12" xfId="0" applyFont="1" applyBorder="1" applyAlignment="1" applyProtection="1">
      <alignment horizontal="center" vertical="center" wrapText="1"/>
    </xf>
    <xf numFmtId="49" fontId="46" fillId="0" borderId="0" xfId="0" applyNumberFormat="1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right" vertical="top"/>
    </xf>
    <xf numFmtId="49" fontId="47" fillId="0" borderId="0" xfId="0" applyNumberFormat="1" applyFont="1"/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18" borderId="10" xfId="0" applyFill="1" applyBorder="1" applyAlignment="1" applyProtection="1">
      <alignment horizontal="center"/>
      <protection locked="0"/>
    </xf>
    <xf numFmtId="0" fontId="48" fillId="0" borderId="11" xfId="0" applyFont="1" applyBorder="1" applyAlignment="1">
      <alignment horizontal="center"/>
    </xf>
    <xf numFmtId="0" fontId="7" fillId="0" borderId="15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6" xfId="0" applyFont="1" applyBorder="1" applyAlignment="1" applyProtection="1">
      <protection locked="0"/>
    </xf>
    <xf numFmtId="0" fontId="7" fillId="0" borderId="13" xfId="0" applyFont="1" applyBorder="1" applyAlignment="1" applyProtection="1"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5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5" fontId="7" fillId="0" borderId="13" xfId="0" applyNumberFormat="1" applyFont="1" applyBorder="1" applyAlignment="1" applyProtection="1">
      <protection locked="0"/>
    </xf>
    <xf numFmtId="0" fontId="13" fillId="0" borderId="11" xfId="0" applyFont="1" applyBorder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</xf>
    <xf numFmtId="2" fontId="7" fillId="18" borderId="1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NewForm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2"/>
  <sheetViews>
    <sheetView tabSelected="1" zoomScaleNormal="100" zoomScalePageLayoutView="75" workbookViewId="0">
      <selection activeCell="G10" sqref="G10"/>
    </sheetView>
  </sheetViews>
  <sheetFormatPr defaultRowHeight="13.2"/>
  <cols>
    <col min="4" max="4" width="11.77734375" customWidth="1"/>
    <col min="5" max="5" width="13.5546875" customWidth="1"/>
    <col min="6" max="6" width="13.77734375" hidden="1" customWidth="1"/>
    <col min="7" max="7" width="14.21875" customWidth="1"/>
    <col min="8" max="10" width="1.77734375" customWidth="1"/>
    <col min="11" max="11" width="15.77734375" customWidth="1"/>
    <col min="12" max="12" width="20.44140625" hidden="1" customWidth="1"/>
    <col min="13" max="15" width="1.77734375" customWidth="1"/>
    <col min="16" max="16" width="14.21875" style="44" customWidth="1"/>
    <col min="17" max="17" width="10.77734375" customWidth="1"/>
    <col min="18" max="18" width="13.77734375" hidden="1" customWidth="1"/>
    <col min="19" max="19" width="11.21875" customWidth="1"/>
    <col min="21" max="22" width="2.77734375" customWidth="1"/>
    <col min="28" max="28" width="13.5546875" customWidth="1"/>
    <col min="29" max="29" width="9.21875" hidden="1" customWidth="1"/>
    <col min="30" max="30" width="11.44140625" customWidth="1"/>
    <col min="31" max="31" width="1.77734375" customWidth="1"/>
    <col min="32" max="32" width="2" customWidth="1"/>
    <col min="33" max="33" width="1.77734375" customWidth="1"/>
    <col min="35" max="35" width="1.77734375" hidden="1" customWidth="1"/>
    <col min="36" max="38" width="1.77734375" customWidth="1"/>
    <col min="39" max="39" width="14.21875" customWidth="1"/>
  </cols>
  <sheetData>
    <row r="1" spans="1:19" ht="16.8" thickBot="1">
      <c r="A1" s="168" t="s">
        <v>215</v>
      </c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9" ht="12.75" customHeight="1">
      <c r="A2" s="19"/>
      <c r="B2" s="19"/>
      <c r="E2" s="6"/>
      <c r="F2" s="2"/>
      <c r="G2" s="2"/>
      <c r="H2" s="2"/>
      <c r="I2" s="2"/>
      <c r="J2" s="2"/>
      <c r="Q2" s="20"/>
      <c r="R2" s="20"/>
      <c r="S2" s="20"/>
    </row>
    <row r="3" spans="1:19">
      <c r="A3" s="43"/>
      <c r="B3" s="53"/>
      <c r="C3" s="53"/>
      <c r="D3" s="3"/>
      <c r="E3" s="43"/>
      <c r="F3" s="41"/>
      <c r="G3" s="53"/>
      <c r="H3" s="27"/>
      <c r="I3" s="27"/>
      <c r="J3" s="27"/>
      <c r="K3" s="3"/>
      <c r="L3" s="3"/>
      <c r="M3" s="3"/>
      <c r="N3" s="3"/>
      <c r="O3" s="3"/>
      <c r="P3" s="45"/>
      <c r="Q3" s="53"/>
      <c r="R3" s="53"/>
      <c r="S3" s="53"/>
    </row>
    <row r="4" spans="1:19">
      <c r="A4" s="3" t="s">
        <v>2</v>
      </c>
      <c r="B4" s="3"/>
      <c r="C4" s="3"/>
      <c r="E4" t="s">
        <v>3</v>
      </c>
      <c r="P4" s="46" t="s">
        <v>95</v>
      </c>
      <c r="Q4" s="34"/>
      <c r="R4" s="34"/>
    </row>
    <row r="6" spans="1:19">
      <c r="A6" t="s">
        <v>11</v>
      </c>
      <c r="D6" s="21"/>
      <c r="E6" t="s">
        <v>101</v>
      </c>
      <c r="K6" s="21"/>
      <c r="L6" s="35"/>
      <c r="M6" s="54" t="s">
        <v>96</v>
      </c>
      <c r="N6" s="55"/>
      <c r="O6" s="55"/>
      <c r="Q6" s="28" t="s">
        <v>97</v>
      </c>
      <c r="R6" s="28"/>
      <c r="S6" s="21"/>
    </row>
    <row r="7" spans="1:19" ht="24.75" customHeight="1">
      <c r="A7" s="1" t="s">
        <v>12</v>
      </c>
    </row>
    <row r="8" spans="1:19">
      <c r="A8" s="5" t="s">
        <v>102</v>
      </c>
      <c r="G8" s="184"/>
      <c r="H8" s="56"/>
      <c r="I8" s="56"/>
      <c r="J8" s="56"/>
      <c r="K8" s="185"/>
      <c r="L8" s="170"/>
      <c r="M8" s="170"/>
      <c r="N8" s="170"/>
      <c r="O8" s="170"/>
      <c r="P8" s="170"/>
      <c r="Q8" s="170"/>
      <c r="R8" s="170"/>
      <c r="S8" s="170"/>
    </row>
    <row r="9" spans="1:19">
      <c r="A9" s="5" t="s">
        <v>140</v>
      </c>
      <c r="G9" s="85">
        <f>B99</f>
        <v>0</v>
      </c>
      <c r="H9" s="56"/>
      <c r="I9" s="56"/>
      <c r="J9" s="56"/>
      <c r="K9" s="170"/>
      <c r="L9" s="170"/>
      <c r="M9" s="170"/>
      <c r="N9" s="170"/>
      <c r="O9" s="170"/>
      <c r="P9" s="170"/>
      <c r="Q9" s="170"/>
      <c r="R9" s="170"/>
      <c r="S9" s="170"/>
    </row>
    <row r="10" spans="1:19">
      <c r="A10" s="5" t="s">
        <v>118</v>
      </c>
      <c r="G10" s="184"/>
      <c r="H10" s="56"/>
      <c r="I10" s="56"/>
      <c r="J10" s="56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>
      <c r="A11" s="5" t="s">
        <v>121</v>
      </c>
      <c r="G11" s="80"/>
      <c r="H11" s="56"/>
      <c r="I11" s="56"/>
      <c r="J11" s="56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>
      <c r="A12" s="5" t="s">
        <v>122</v>
      </c>
      <c r="G12" s="80"/>
      <c r="H12" s="56"/>
      <c r="I12" s="56"/>
      <c r="J12" s="56"/>
      <c r="K12" s="170"/>
      <c r="L12" s="170"/>
      <c r="M12" s="170"/>
      <c r="N12" s="170"/>
      <c r="O12" s="170"/>
      <c r="P12" s="170"/>
      <c r="Q12" s="170"/>
      <c r="R12" s="170"/>
      <c r="S12" s="170"/>
    </row>
    <row r="13" spans="1:19">
      <c r="A13" s="5" t="s">
        <v>131</v>
      </c>
      <c r="G13" s="80"/>
      <c r="H13" s="56"/>
      <c r="I13" s="56"/>
      <c r="J13" s="56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19">
      <c r="A14" s="5" t="s">
        <v>132</v>
      </c>
      <c r="G14" s="81">
        <f>SUM(G8:G13)</f>
        <v>0</v>
      </c>
      <c r="H14" s="29"/>
      <c r="I14" s="29"/>
      <c r="J14" s="29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19">
      <c r="A15" s="5" t="s">
        <v>123</v>
      </c>
      <c r="G15" s="80"/>
      <c r="H15" s="27"/>
      <c r="I15" s="27"/>
      <c r="J15" s="27"/>
      <c r="K15" s="170"/>
      <c r="L15" s="170"/>
      <c r="M15" s="170"/>
      <c r="N15" s="170"/>
      <c r="O15" s="170"/>
      <c r="P15" s="170"/>
      <c r="Q15" s="170"/>
      <c r="R15" s="170"/>
      <c r="S15" s="170"/>
    </row>
    <row r="16" spans="1:19">
      <c r="A16" s="5" t="s">
        <v>124</v>
      </c>
      <c r="G16" s="82">
        <f>SUM(G14:G15)</f>
        <v>0</v>
      </c>
      <c r="H16" s="36"/>
      <c r="I16" s="36"/>
      <c r="J16" s="36"/>
      <c r="K16" s="170"/>
      <c r="L16" s="170"/>
      <c r="M16" s="170"/>
      <c r="N16" s="170"/>
      <c r="O16" s="170"/>
      <c r="P16" s="170"/>
      <c r="Q16" s="170"/>
      <c r="R16" s="170"/>
      <c r="S16" s="170"/>
    </row>
    <row r="17" spans="1:19" ht="12.75" customHeight="1">
      <c r="H17" s="14"/>
      <c r="I17" s="14"/>
      <c r="J17" s="14"/>
    </row>
    <row r="18" spans="1:19">
      <c r="A18" s="1" t="s">
        <v>19</v>
      </c>
      <c r="H18" s="14"/>
      <c r="I18" s="14"/>
      <c r="J18" s="14"/>
    </row>
    <row r="19" spans="1:19">
      <c r="A19" s="5" t="s">
        <v>130</v>
      </c>
      <c r="G19" s="84">
        <f>G8</f>
        <v>0</v>
      </c>
      <c r="H19" s="57">
        <f t="shared" ref="H19:H26" si="0">ROUNDUP(G19,0)</f>
        <v>0</v>
      </c>
      <c r="I19" s="27"/>
      <c r="J19" s="27"/>
      <c r="K19" s="5" t="s">
        <v>103</v>
      </c>
      <c r="L19" s="5"/>
      <c r="M19" s="5"/>
      <c r="N19" s="5"/>
      <c r="O19" s="5"/>
      <c r="P19" s="50">
        <f>H19*2500</f>
        <v>0</v>
      </c>
    </row>
    <row r="20" spans="1:19">
      <c r="A20" s="5" t="s">
        <v>125</v>
      </c>
      <c r="G20" s="85">
        <f>D100</f>
        <v>0</v>
      </c>
      <c r="H20" s="57"/>
      <c r="I20" s="27"/>
      <c r="J20" s="27"/>
      <c r="K20" s="5" t="s">
        <v>104</v>
      </c>
      <c r="L20" s="5"/>
      <c r="M20" s="5"/>
      <c r="N20" s="5"/>
      <c r="O20" s="5"/>
      <c r="P20" s="50">
        <f>G20*10000</f>
        <v>0</v>
      </c>
    </row>
    <row r="21" spans="1:19">
      <c r="A21" s="5" t="s">
        <v>126</v>
      </c>
      <c r="G21" s="85">
        <f>G10</f>
        <v>0</v>
      </c>
      <c r="H21" s="57">
        <f t="shared" si="0"/>
        <v>0</v>
      </c>
      <c r="I21" s="27"/>
      <c r="J21" s="27"/>
      <c r="K21" s="5" t="s">
        <v>105</v>
      </c>
      <c r="L21" s="5"/>
      <c r="M21" s="5"/>
      <c r="N21" s="5"/>
      <c r="O21" s="5"/>
      <c r="P21" s="50">
        <f>H21*7500</f>
        <v>0</v>
      </c>
    </row>
    <row r="22" spans="1:19">
      <c r="A22" s="5" t="s">
        <v>127</v>
      </c>
      <c r="G22" s="84">
        <f>G11</f>
        <v>0</v>
      </c>
      <c r="H22" s="57">
        <f t="shared" si="0"/>
        <v>0</v>
      </c>
      <c r="I22" s="58"/>
      <c r="J22" s="58"/>
      <c r="K22" s="5" t="s">
        <v>106</v>
      </c>
      <c r="L22" s="5"/>
      <c r="M22" s="5"/>
      <c r="N22" s="5"/>
      <c r="O22" s="5"/>
      <c r="P22" s="50">
        <f>H22*2000</f>
        <v>0</v>
      </c>
    </row>
    <row r="23" spans="1:19">
      <c r="A23" s="5" t="s">
        <v>128</v>
      </c>
      <c r="E23" s="59"/>
      <c r="F23" s="5" t="s">
        <v>25</v>
      </c>
      <c r="G23" s="86">
        <f>G13</f>
        <v>0</v>
      </c>
      <c r="H23" s="57">
        <f t="shared" si="0"/>
        <v>0</v>
      </c>
      <c r="I23" s="60"/>
      <c r="J23" s="60"/>
      <c r="K23" s="61" t="s">
        <v>107</v>
      </c>
      <c r="P23" s="62">
        <f>H23*3500</f>
        <v>0</v>
      </c>
      <c r="R23" s="37"/>
    </row>
    <row r="24" spans="1:19">
      <c r="A24" s="5" t="s">
        <v>129</v>
      </c>
      <c r="B24" s="5"/>
      <c r="C24" s="5"/>
      <c r="D24" s="5"/>
      <c r="E24" s="5" t="s">
        <v>108</v>
      </c>
      <c r="F24" s="44"/>
      <c r="G24" s="84">
        <f>IF(G12&gt;0,IF(G12&lt;=2,G12,2),0)</f>
        <v>0</v>
      </c>
      <c r="H24" s="57">
        <f t="shared" si="0"/>
        <v>0</v>
      </c>
      <c r="I24" s="63"/>
      <c r="J24" s="63"/>
      <c r="K24" s="64" t="s">
        <v>109</v>
      </c>
      <c r="L24" s="11"/>
      <c r="M24" s="11"/>
      <c r="N24" s="11"/>
      <c r="O24" s="11"/>
      <c r="P24" s="65">
        <f>IF(H24&gt;0,20000,0)</f>
        <v>0</v>
      </c>
      <c r="Q24" s="37"/>
      <c r="R24" s="37"/>
    </row>
    <row r="25" spans="1:19">
      <c r="E25" s="5" t="s">
        <v>27</v>
      </c>
      <c r="G25" s="84">
        <f>IF(G12&lt;=2,0,IF(G12&lt;=10,(G12-2),IF(G12&gt;10,8)))</f>
        <v>0</v>
      </c>
      <c r="H25" s="57">
        <f t="shared" si="0"/>
        <v>0</v>
      </c>
      <c r="I25" s="63"/>
      <c r="J25" s="63"/>
      <c r="K25" s="64" t="s">
        <v>110</v>
      </c>
      <c r="L25" s="64"/>
      <c r="M25" s="64"/>
      <c r="N25" s="64"/>
      <c r="O25" s="64"/>
      <c r="P25" s="83">
        <f>IF(G12&lt;=2,0,IF(G12&lt;=10,(H25)*4000,IF(G12&gt;10,32000)))</f>
        <v>0</v>
      </c>
      <c r="R25" s="31"/>
    </row>
    <row r="26" spans="1:19">
      <c r="E26" s="5" t="s">
        <v>28</v>
      </c>
      <c r="G26" s="84">
        <f>IF(G12&gt;10,(G12-10),0)</f>
        <v>0</v>
      </c>
      <c r="H26" s="57">
        <f t="shared" si="0"/>
        <v>0</v>
      </c>
      <c r="I26" s="63"/>
      <c r="J26" s="63"/>
      <c r="K26" s="66" t="s">
        <v>111</v>
      </c>
      <c r="P26" s="67">
        <f>IF(G12&gt;10,(H26)*2500,0)</f>
        <v>0</v>
      </c>
      <c r="R26" s="38"/>
    </row>
    <row r="27" spans="1:19" ht="13.8" thickBot="1">
      <c r="G27" t="s">
        <v>32</v>
      </c>
      <c r="P27" s="51">
        <f>SUM(P19:P26)</f>
        <v>0</v>
      </c>
    </row>
    <row r="28" spans="1:19" ht="12.75" customHeight="1">
      <c r="G28" t="s">
        <v>112</v>
      </c>
      <c r="P28" s="44" t="s">
        <v>113</v>
      </c>
    </row>
    <row r="29" spans="1:19" ht="12.75" customHeight="1"/>
    <row r="30" spans="1:19">
      <c r="A30" s="1" t="s">
        <v>208</v>
      </c>
      <c r="L30" s="5">
        <f>IF(ISBLANK(E27),0,250)</f>
        <v>0</v>
      </c>
      <c r="P30" s="49"/>
    </row>
    <row r="31" spans="1:19">
      <c r="A31" s="5" t="s">
        <v>30</v>
      </c>
      <c r="E31" s="80"/>
      <c r="F31" s="30"/>
      <c r="G31" s="5" t="s">
        <v>31</v>
      </c>
      <c r="P31" s="9">
        <f>E31*500</f>
        <v>0</v>
      </c>
      <c r="S31" s="33"/>
    </row>
    <row r="32" spans="1:19">
      <c r="A32" s="5" t="s">
        <v>37</v>
      </c>
      <c r="E32" s="80"/>
      <c r="F32" s="30"/>
      <c r="G32" s="5" t="s">
        <v>38</v>
      </c>
      <c r="P32" s="9">
        <f>E32*1500</f>
        <v>0</v>
      </c>
      <c r="S32" s="33"/>
    </row>
    <row r="33" spans="1:19">
      <c r="A33" s="5" t="s">
        <v>39</v>
      </c>
      <c r="E33" s="80"/>
      <c r="F33" s="30"/>
      <c r="G33" s="5" t="s">
        <v>38</v>
      </c>
      <c r="P33" s="9">
        <f>E33*1500</f>
        <v>0</v>
      </c>
      <c r="S33" s="33"/>
    </row>
    <row r="34" spans="1:19">
      <c r="A34" s="5" t="s">
        <v>116</v>
      </c>
      <c r="P34" s="49"/>
    </row>
    <row r="35" spans="1:19">
      <c r="A35" s="5" t="s">
        <v>117</v>
      </c>
      <c r="P35" s="49"/>
    </row>
    <row r="36" spans="1:19">
      <c r="A36" s="5"/>
      <c r="P36" s="115">
        <f>SUM(P31:P33,)</f>
        <v>0</v>
      </c>
    </row>
    <row r="37" spans="1:19">
      <c r="A37" s="5"/>
      <c r="P37" s="44" t="s">
        <v>113</v>
      </c>
    </row>
    <row r="38" spans="1:19">
      <c r="P38" s="49"/>
    </row>
    <row r="39" spans="1:19">
      <c r="A39" s="71" t="s">
        <v>212</v>
      </c>
      <c r="B39" s="16"/>
      <c r="P39" s="49"/>
    </row>
    <row r="40" spans="1:19">
      <c r="A40" s="5" t="s">
        <v>146</v>
      </c>
      <c r="E40" s="55"/>
      <c r="G40" s="72"/>
      <c r="K40" s="5" t="s">
        <v>214</v>
      </c>
      <c r="P40" s="49"/>
      <c r="S40" s="9">
        <f>G40*25</f>
        <v>0</v>
      </c>
    </row>
    <row r="41" spans="1:19">
      <c r="A41" s="5"/>
      <c r="C41" s="73"/>
      <c r="E41" s="16"/>
      <c r="H41" s="74"/>
      <c r="P41" s="49"/>
    </row>
    <row r="42" spans="1:19">
      <c r="A42" s="5" t="s">
        <v>145</v>
      </c>
      <c r="E42" s="55"/>
      <c r="G42" s="72"/>
      <c r="P42" s="49"/>
      <c r="R42">
        <f>IF(S40&gt;S42,S40,S42)</f>
        <v>0</v>
      </c>
      <c r="S42" s="9">
        <f>G42</f>
        <v>0</v>
      </c>
    </row>
    <row r="43" spans="1:19">
      <c r="C43" s="5"/>
      <c r="P43" s="49"/>
    </row>
    <row r="44" spans="1:19">
      <c r="A44" s="5" t="s">
        <v>211</v>
      </c>
      <c r="E44" s="55"/>
      <c r="F44" s="75"/>
      <c r="G44" s="89">
        <f>G114</f>
        <v>0</v>
      </c>
      <c r="P44" s="49"/>
      <c r="S44" s="9">
        <f>G44</f>
        <v>0</v>
      </c>
    </row>
    <row r="45" spans="1:19">
      <c r="A45" s="5"/>
      <c r="E45" s="55"/>
      <c r="F45" s="75"/>
      <c r="G45" s="91"/>
      <c r="P45" s="49"/>
      <c r="S45" s="33"/>
    </row>
    <row r="46" spans="1:19" ht="12.75" customHeight="1">
      <c r="P46" s="49"/>
    </row>
    <row r="47" spans="1:19">
      <c r="A47" s="1" t="s">
        <v>60</v>
      </c>
      <c r="P47" s="49"/>
    </row>
    <row r="48" spans="1:19">
      <c r="A48" s="5" t="s">
        <v>63</v>
      </c>
      <c r="D48" s="9">
        <f>P27</f>
        <v>0</v>
      </c>
      <c r="L48">
        <f>D52/100</f>
        <v>0</v>
      </c>
      <c r="P48" s="49"/>
    </row>
    <row r="49" spans="1:20">
      <c r="A49" s="5" t="s">
        <v>209</v>
      </c>
      <c r="C49" s="12" t="s">
        <v>65</v>
      </c>
      <c r="D49" s="116">
        <f>P36</f>
        <v>0</v>
      </c>
      <c r="L49">
        <f>TRUNC(L48)</f>
        <v>0</v>
      </c>
      <c r="P49" s="49"/>
    </row>
    <row r="50" spans="1:20">
      <c r="A50" s="5" t="s">
        <v>210</v>
      </c>
      <c r="C50" s="12" t="s">
        <v>65</v>
      </c>
      <c r="D50" s="9">
        <f>SUM(R42,S44)</f>
        <v>0</v>
      </c>
      <c r="L50">
        <f>IF(L48-L49&gt;=0.5,L49*100+100,L49*100)</f>
        <v>0</v>
      </c>
      <c r="P50" s="49"/>
    </row>
    <row r="51" spans="1:20" s="3" customFormat="1">
      <c r="A51" s="11"/>
      <c r="C51" s="75"/>
      <c r="D51" s="77">
        <f>D48+D49+D50</f>
        <v>0</v>
      </c>
      <c r="E51" s="78" t="str">
        <f>IF(G14=0,IF(D51&gt;10000,"","REGULATORY MINIMUM $10,000 APPLIED"),IF(G11=G14,IF(D51&gt;50000,"","REGULATORY MINIMUM $50,000 APPLIED"),IF(D51&gt;75000,"","REGULATORY MINIMUM $75,000 APPLIED")))</f>
        <v>REGULATORY MINIMUM $10,000 APPLIED</v>
      </c>
      <c r="P51" s="79"/>
    </row>
    <row r="52" spans="1:20" ht="13.8" thickBot="1">
      <c r="A52" s="5" t="s">
        <v>67</v>
      </c>
      <c r="C52" s="12" t="s">
        <v>55</v>
      </c>
      <c r="D52" s="9">
        <f>D51</f>
        <v>0</v>
      </c>
      <c r="E52" s="42" t="s">
        <v>72</v>
      </c>
      <c r="F52" s="5"/>
      <c r="G52" s="15">
        <f>IF(G14=0,IF(D51&gt;10000,L50,10000),IF(G11=G14,IF(D51&gt;50000,L50,50000),IF(D51&gt;75000,L50,75000)))</f>
        <v>10000</v>
      </c>
      <c r="P52" s="49"/>
    </row>
    <row r="53" spans="1:20">
      <c r="C53" s="5" t="s">
        <v>114</v>
      </c>
      <c r="G53" s="26"/>
      <c r="P53" s="49"/>
      <c r="T53" s="154"/>
    </row>
    <row r="54" spans="1:20" ht="13.8" thickBot="1">
      <c r="C54" s="5" t="s">
        <v>115</v>
      </c>
      <c r="G54" s="7">
        <f>G52-G53</f>
        <v>10000</v>
      </c>
      <c r="P54" s="49"/>
    </row>
    <row r="55" spans="1:20">
      <c r="P55" s="49"/>
    </row>
    <row r="56" spans="1:20">
      <c r="C56" s="13" t="s">
        <v>74</v>
      </c>
      <c r="E56" s="9">
        <f>G52</f>
        <v>10000</v>
      </c>
      <c r="F56" s="33"/>
      <c r="P56" s="49"/>
    </row>
    <row r="57" spans="1:20">
      <c r="C57" s="5" t="s">
        <v>206</v>
      </c>
      <c r="E57" s="114">
        <f>G14</f>
        <v>0</v>
      </c>
      <c r="P57" s="49"/>
    </row>
    <row r="58" spans="1:20">
      <c r="P58" s="49"/>
    </row>
    <row r="59" spans="1:20">
      <c r="C59" s="5" t="s">
        <v>80</v>
      </c>
      <c r="E59" s="17">
        <f>IF(E57&gt;0,E56/E57,0)</f>
        <v>0</v>
      </c>
      <c r="F59" s="17"/>
      <c r="P59" s="49"/>
    </row>
    <row r="60" spans="1:20">
      <c r="P60" s="49"/>
    </row>
    <row r="61" spans="1:20" ht="16.5" customHeight="1">
      <c r="A61" s="16" t="s">
        <v>81</v>
      </c>
      <c r="B61" s="3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39"/>
    </row>
    <row r="62" spans="1:20" ht="15" customHeight="1">
      <c r="A62" s="16" t="s">
        <v>82</v>
      </c>
      <c r="B62" s="27"/>
      <c r="C62" s="156">
        <f>C131</f>
        <v>0</v>
      </c>
      <c r="D62" s="87"/>
      <c r="E62" s="87"/>
      <c r="F62" s="87"/>
      <c r="G62" s="87"/>
      <c r="H62" s="16" t="s">
        <v>83</v>
      </c>
      <c r="M62" s="88"/>
      <c r="N62" s="90"/>
      <c r="O62" s="90"/>
      <c r="P62" s="158">
        <f>P131</f>
        <v>0</v>
      </c>
      <c r="Q62" s="90"/>
      <c r="R62" s="39"/>
    </row>
    <row r="63" spans="1:20" ht="17.25" customHeight="1">
      <c r="A63" s="16" t="s">
        <v>84</v>
      </c>
      <c r="B63" s="27"/>
      <c r="C63" s="155">
        <f>C132</f>
        <v>0</v>
      </c>
      <c r="D63" s="87"/>
      <c r="E63" s="87"/>
      <c r="F63" s="87"/>
      <c r="G63" s="87"/>
      <c r="H63" s="16" t="s">
        <v>83</v>
      </c>
      <c r="M63" s="88"/>
      <c r="N63" s="90"/>
      <c r="O63" s="90"/>
      <c r="P63" s="158">
        <f>P132</f>
        <v>0</v>
      </c>
      <c r="Q63" s="90"/>
      <c r="R63" s="39"/>
    </row>
    <row r="64" spans="1:20" s="3" customFormat="1">
      <c r="A64" s="11"/>
      <c r="C64" s="11"/>
      <c r="P64" s="112"/>
    </row>
    <row r="65" spans="1:35" s="3" customFormat="1">
      <c r="P65" s="113"/>
    </row>
    <row r="66" spans="1:35" s="3" customFormat="1">
      <c r="P66" s="112"/>
    </row>
    <row r="67" spans="1:35" ht="18.75" customHeight="1">
      <c r="A67" s="6"/>
      <c r="B67" s="19"/>
      <c r="C67" s="6"/>
      <c r="F67" s="2"/>
      <c r="G67" s="2"/>
      <c r="H67" s="2"/>
      <c r="I67" s="2"/>
      <c r="J67" s="2"/>
      <c r="P67" s="68">
        <f>E3</f>
        <v>0</v>
      </c>
      <c r="Q67" s="69"/>
      <c r="R67" s="20"/>
      <c r="S67" s="70">
        <f>S6</f>
        <v>0</v>
      </c>
    </row>
    <row r="68" spans="1:35">
      <c r="A68" s="1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8" t="s">
        <v>100</v>
      </c>
      <c r="Q68" s="1"/>
      <c r="R68" s="1"/>
      <c r="S68" s="42" t="s">
        <v>97</v>
      </c>
    </row>
    <row r="69" spans="1:35" ht="12.75" customHeight="1">
      <c r="P69" s="49"/>
    </row>
    <row r="70" spans="1:35">
      <c r="A70" s="1"/>
      <c r="B70" s="1"/>
      <c r="P70" s="49"/>
    </row>
    <row r="71" spans="1:35">
      <c r="A71" s="119" t="s">
        <v>147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</row>
    <row r="72" spans="1:35">
      <c r="A72" s="121" t="s">
        <v>119</v>
      </c>
      <c r="B72" s="120" t="s">
        <v>120</v>
      </c>
      <c r="C72" s="120"/>
      <c r="D72" s="120" t="s">
        <v>133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</row>
    <row r="73" spans="1:35">
      <c r="A73" s="122"/>
      <c r="B73" s="123"/>
      <c r="C73" s="120"/>
      <c r="D73" s="133">
        <f>ROUNDUP(B73,0)</f>
        <v>0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</row>
    <row r="74" spans="1:35">
      <c r="A74" s="122"/>
      <c r="B74" s="123"/>
      <c r="C74" s="120"/>
      <c r="D74" s="134">
        <f>ROUNDUP(B74,0)</f>
        <v>0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</row>
    <row r="75" spans="1:35">
      <c r="A75" s="122"/>
      <c r="B75" s="123"/>
      <c r="C75" s="120"/>
      <c r="D75" s="124">
        <f>ROUNDUP(B75,0)</f>
        <v>0</v>
      </c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</row>
    <row r="76" spans="1:35">
      <c r="A76" s="122"/>
      <c r="B76" s="123"/>
      <c r="C76" s="120"/>
      <c r="D76" s="124">
        <f t="shared" ref="D76:D98" si="1">ROUNDUP(B76,0)</f>
        <v>0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</row>
    <row r="77" spans="1:35">
      <c r="A77" s="122"/>
      <c r="B77" s="123"/>
      <c r="C77" s="120"/>
      <c r="D77" s="124">
        <f t="shared" si="1"/>
        <v>0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</row>
    <row r="78" spans="1:35">
      <c r="A78" s="122"/>
      <c r="B78" s="123"/>
      <c r="C78" s="120"/>
      <c r="D78" s="124">
        <f t="shared" si="1"/>
        <v>0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</row>
    <row r="79" spans="1:35">
      <c r="A79" s="122"/>
      <c r="B79" s="123"/>
      <c r="C79" s="120"/>
      <c r="D79" s="124">
        <f t="shared" si="1"/>
        <v>0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</row>
    <row r="80" spans="1:35">
      <c r="A80" s="122"/>
      <c r="B80" s="123"/>
      <c r="C80" s="120"/>
      <c r="D80" s="124">
        <f t="shared" si="1"/>
        <v>0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</row>
    <row r="81" spans="1:35">
      <c r="A81" s="122"/>
      <c r="B81" s="123"/>
      <c r="C81" s="120"/>
      <c r="D81" s="124">
        <f t="shared" si="1"/>
        <v>0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</row>
    <row r="82" spans="1:35">
      <c r="A82" s="122"/>
      <c r="B82" s="123"/>
      <c r="C82" s="120"/>
      <c r="D82" s="124">
        <f t="shared" si="1"/>
        <v>0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</row>
    <row r="83" spans="1:35">
      <c r="A83" s="122"/>
      <c r="B83" s="123"/>
      <c r="C83" s="120"/>
      <c r="D83" s="124">
        <f t="shared" si="1"/>
        <v>0</v>
      </c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</row>
    <row r="84" spans="1:35">
      <c r="A84" s="122"/>
      <c r="B84" s="123"/>
      <c r="C84" s="120"/>
      <c r="D84" s="124">
        <f t="shared" si="1"/>
        <v>0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</row>
    <row r="85" spans="1:35">
      <c r="A85" s="122"/>
      <c r="B85" s="123"/>
      <c r="C85" s="120"/>
      <c r="D85" s="124">
        <f t="shared" si="1"/>
        <v>0</v>
      </c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</row>
    <row r="86" spans="1:35">
      <c r="A86" s="122"/>
      <c r="B86" s="123"/>
      <c r="C86" s="120"/>
      <c r="D86" s="124">
        <f t="shared" si="1"/>
        <v>0</v>
      </c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</row>
    <row r="87" spans="1:35">
      <c r="A87" s="122"/>
      <c r="B87" s="123"/>
      <c r="C87" s="120"/>
      <c r="D87" s="124">
        <f t="shared" si="1"/>
        <v>0</v>
      </c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</row>
    <row r="88" spans="1:35">
      <c r="A88" s="122"/>
      <c r="B88" s="123"/>
      <c r="C88" s="120"/>
      <c r="D88" s="124">
        <f t="shared" si="1"/>
        <v>0</v>
      </c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</row>
    <row r="89" spans="1:35">
      <c r="A89" s="122"/>
      <c r="B89" s="123"/>
      <c r="C89" s="120"/>
      <c r="D89" s="124">
        <f t="shared" si="1"/>
        <v>0</v>
      </c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</row>
    <row r="90" spans="1:35">
      <c r="A90" s="122"/>
      <c r="B90" s="123"/>
      <c r="C90" s="120"/>
      <c r="D90" s="124">
        <f t="shared" si="1"/>
        <v>0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</row>
    <row r="91" spans="1:35">
      <c r="A91" s="122"/>
      <c r="B91" s="123"/>
      <c r="C91" s="120"/>
      <c r="D91" s="124">
        <f t="shared" si="1"/>
        <v>0</v>
      </c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</row>
    <row r="92" spans="1:35">
      <c r="A92" s="122"/>
      <c r="B92" s="123"/>
      <c r="C92" s="120"/>
      <c r="D92" s="124">
        <f t="shared" si="1"/>
        <v>0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</row>
    <row r="93" spans="1:35">
      <c r="A93" s="122"/>
      <c r="B93" s="123"/>
      <c r="C93" s="120"/>
      <c r="D93" s="124">
        <f t="shared" si="1"/>
        <v>0</v>
      </c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</row>
    <row r="94" spans="1:35">
      <c r="A94" s="122"/>
      <c r="B94" s="123"/>
      <c r="C94" s="120"/>
      <c r="D94" s="124">
        <f t="shared" si="1"/>
        <v>0</v>
      </c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</row>
    <row r="95" spans="1:35">
      <c r="A95" s="122"/>
      <c r="B95" s="123"/>
      <c r="C95" s="120"/>
      <c r="D95" s="124">
        <f t="shared" si="1"/>
        <v>0</v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</row>
    <row r="96" spans="1:35">
      <c r="A96" s="122"/>
      <c r="B96" s="123"/>
      <c r="C96" s="120"/>
      <c r="D96" s="124">
        <f t="shared" si="1"/>
        <v>0</v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</row>
    <row r="97" spans="1:35">
      <c r="A97" s="122"/>
      <c r="B97" s="123"/>
      <c r="C97" s="120"/>
      <c r="D97" s="124">
        <f t="shared" si="1"/>
        <v>0</v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</row>
    <row r="98" spans="1:35">
      <c r="A98" s="122"/>
      <c r="B98" s="123"/>
      <c r="C98" s="120"/>
      <c r="D98" s="124">
        <f t="shared" si="1"/>
        <v>0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</row>
    <row r="99" spans="1:35">
      <c r="A99" s="125"/>
      <c r="B99" s="126">
        <f>SUM(B73:B98)</f>
        <v>0</v>
      </c>
      <c r="C99" s="127"/>
      <c r="D99" s="127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</row>
    <row r="100" spans="1:35">
      <c r="A100" s="120" t="s">
        <v>138</v>
      </c>
      <c r="B100" s="120"/>
      <c r="C100" s="120"/>
      <c r="D100" s="133">
        <f>SUM(D73:D98)</f>
        <v>0</v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</row>
    <row r="101" spans="1:35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</row>
    <row r="102" spans="1:3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</row>
    <row r="103" spans="1:3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</row>
    <row r="104" spans="1:35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</row>
    <row r="105" spans="1:35">
      <c r="A105" s="119" t="s">
        <v>207</v>
      </c>
      <c r="B105" s="119"/>
      <c r="C105" s="119"/>
      <c r="D105" s="119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</row>
    <row r="106" spans="1:35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</row>
    <row r="107" spans="1:35">
      <c r="A107" s="128" t="s">
        <v>136</v>
      </c>
      <c r="B107" s="120"/>
      <c r="C107" s="120" t="s">
        <v>139</v>
      </c>
      <c r="D107" s="120"/>
      <c r="E107" s="120"/>
      <c r="F107" s="120"/>
      <c r="G107" s="120" t="s">
        <v>134</v>
      </c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</row>
    <row r="108" spans="1:35">
      <c r="A108" s="128" t="s">
        <v>135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</row>
    <row r="109" spans="1:35">
      <c r="A109" s="129"/>
      <c r="B109" s="120" t="s">
        <v>142</v>
      </c>
      <c r="C109" s="120"/>
      <c r="D109" s="120"/>
      <c r="E109" s="120"/>
      <c r="F109" s="120"/>
      <c r="G109" s="130">
        <f>A109*10000</f>
        <v>0</v>
      </c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</row>
    <row r="110" spans="1:35" ht="12.75" customHeight="1">
      <c r="A110" s="129"/>
      <c r="B110" s="120" t="s">
        <v>141</v>
      </c>
      <c r="C110" s="120"/>
      <c r="D110" s="120"/>
      <c r="E110" s="120"/>
      <c r="F110" s="120"/>
      <c r="G110" s="130">
        <f>A110*25000</f>
        <v>0</v>
      </c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</row>
    <row r="111" spans="1:35">
      <c r="A111" s="129"/>
      <c r="B111" s="120" t="s">
        <v>143</v>
      </c>
      <c r="C111" s="120"/>
      <c r="D111" s="120"/>
      <c r="E111" s="120"/>
      <c r="F111" s="120"/>
      <c r="G111" s="130">
        <f>A111*50000</f>
        <v>0</v>
      </c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</row>
    <row r="112" spans="1:35">
      <c r="A112" s="129"/>
      <c r="B112" s="120" t="s">
        <v>144</v>
      </c>
      <c r="C112" s="120"/>
      <c r="D112" s="120"/>
      <c r="E112" s="120"/>
      <c r="F112" s="120"/>
      <c r="G112" s="130">
        <f>A112*100000</f>
        <v>0</v>
      </c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</row>
    <row r="113" spans="1:35">
      <c r="A113" s="131"/>
      <c r="B113" s="127"/>
      <c r="C113" s="127"/>
      <c r="D113" s="127"/>
      <c r="E113" s="127"/>
      <c r="F113" s="127"/>
      <c r="G113" s="132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</row>
    <row r="114" spans="1:35">
      <c r="A114" s="120"/>
      <c r="B114" s="120"/>
      <c r="C114" s="120" t="s">
        <v>137</v>
      </c>
      <c r="D114" s="120"/>
      <c r="E114" s="120"/>
      <c r="F114" s="120"/>
      <c r="G114" s="130">
        <f>SUM(G109:G112)</f>
        <v>0</v>
      </c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</row>
    <row r="115" spans="1:35">
      <c r="A115" s="5"/>
      <c r="C115" s="12"/>
      <c r="D115" s="33"/>
      <c r="E115" s="76"/>
      <c r="P115" s="49"/>
    </row>
    <row r="116" spans="1:35" s="3" customFormat="1">
      <c r="A116" s="11"/>
      <c r="C116" s="75"/>
      <c r="D116" s="77"/>
      <c r="E116" s="78"/>
      <c r="P116" s="79"/>
    </row>
    <row r="117" spans="1:35">
      <c r="A117" s="5"/>
      <c r="C117" s="12"/>
      <c r="D117" s="33"/>
      <c r="E117" s="42"/>
      <c r="F117" s="5"/>
      <c r="G117" s="117"/>
      <c r="P117" s="49"/>
    </row>
    <row r="118" spans="1:35">
      <c r="C118" s="5"/>
      <c r="G118" s="118"/>
      <c r="P118" s="49"/>
    </row>
    <row r="119" spans="1:35">
      <c r="C119" s="5"/>
      <c r="G119" s="118"/>
      <c r="P119" s="49"/>
    </row>
    <row r="120" spans="1:35">
      <c r="C120" s="5"/>
      <c r="G120" s="74"/>
      <c r="P120" s="49"/>
    </row>
    <row r="121" spans="1:35" s="136" customFormat="1">
      <c r="A121" s="135" t="s">
        <v>67</v>
      </c>
      <c r="C121" s="137" t="s">
        <v>55</v>
      </c>
      <c r="D121" s="141">
        <f>D52</f>
        <v>0</v>
      </c>
      <c r="E121" s="138" t="s">
        <v>72</v>
      </c>
      <c r="F121" s="135"/>
      <c r="G121" s="141">
        <f>G52</f>
        <v>10000</v>
      </c>
      <c r="P121" s="139"/>
    </row>
    <row r="122" spans="1:35" s="136" customFormat="1">
      <c r="C122" s="135" t="s">
        <v>114</v>
      </c>
      <c r="G122" s="157">
        <f>G53</f>
        <v>0</v>
      </c>
      <c r="P122" s="139"/>
    </row>
    <row r="123" spans="1:35" s="136" customFormat="1">
      <c r="C123" s="135" t="s">
        <v>115</v>
      </c>
      <c r="G123" s="149">
        <f>G54</f>
        <v>10000</v>
      </c>
      <c r="P123" s="139"/>
    </row>
    <row r="124" spans="1:35" s="136" customFormat="1">
      <c r="P124" s="139"/>
    </row>
    <row r="125" spans="1:35" s="136" customFormat="1">
      <c r="C125" s="140" t="s">
        <v>74</v>
      </c>
      <c r="E125" s="141">
        <f>E56</f>
        <v>10000</v>
      </c>
      <c r="F125" s="141"/>
      <c r="P125" s="139"/>
    </row>
    <row r="126" spans="1:35" s="136" customFormat="1">
      <c r="C126" s="135" t="s">
        <v>206</v>
      </c>
      <c r="E126" s="142">
        <f>E57</f>
        <v>0</v>
      </c>
      <c r="P126" s="139"/>
    </row>
    <row r="127" spans="1:35" s="136" customFormat="1">
      <c r="P127" s="139"/>
    </row>
    <row r="128" spans="1:35" s="136" customFormat="1">
      <c r="C128" s="135" t="s">
        <v>80</v>
      </c>
      <c r="E128" s="143">
        <f>E59</f>
        <v>0</v>
      </c>
      <c r="F128" s="143"/>
      <c r="P128" s="139"/>
    </row>
    <row r="129" spans="1:18" s="152" customFormat="1">
      <c r="P129" s="153"/>
    </row>
    <row r="130" spans="1:18" s="136" customFormat="1" ht="16.5" customHeight="1">
      <c r="A130" s="136" t="s">
        <v>81</v>
      </c>
      <c r="B130" s="144"/>
      <c r="C130" s="148"/>
      <c r="D130" s="148"/>
      <c r="E130" s="148"/>
      <c r="F130" s="145"/>
      <c r="G130" s="148"/>
      <c r="H130" s="148"/>
      <c r="I130" s="148"/>
      <c r="J130" s="148"/>
      <c r="K130" s="148"/>
      <c r="L130" s="145"/>
      <c r="M130" s="148"/>
      <c r="N130" s="148"/>
      <c r="O130" s="148"/>
      <c r="P130" s="148"/>
      <c r="Q130" s="148"/>
      <c r="R130" s="146"/>
    </row>
    <row r="131" spans="1:18" s="136" customFormat="1" ht="15" customHeight="1">
      <c r="A131" s="136" t="s">
        <v>82</v>
      </c>
      <c r="B131" s="146"/>
      <c r="C131" s="148"/>
      <c r="D131" s="148"/>
      <c r="E131" s="148"/>
      <c r="F131" s="147"/>
      <c r="G131" s="148"/>
      <c r="H131" s="136" t="s">
        <v>83</v>
      </c>
      <c r="M131" s="150"/>
      <c r="N131" s="151"/>
      <c r="O131" s="151"/>
      <c r="P131" s="151"/>
      <c r="Q131" s="151"/>
      <c r="R131" s="146"/>
    </row>
    <row r="132" spans="1:18" s="136" customFormat="1" ht="17.25" customHeight="1">
      <c r="A132" s="136" t="s">
        <v>84</v>
      </c>
      <c r="B132" s="146"/>
      <c r="C132" s="148"/>
      <c r="D132" s="148"/>
      <c r="E132" s="148"/>
      <c r="F132" s="147"/>
      <c r="G132" s="148"/>
      <c r="H132" s="136" t="s">
        <v>83</v>
      </c>
      <c r="M132" s="150"/>
      <c r="N132" s="151"/>
      <c r="O132" s="151"/>
      <c r="P132" s="151"/>
      <c r="Q132" s="151"/>
      <c r="R132" s="146"/>
    </row>
  </sheetData>
  <sheetProtection sheet="1" objects="1" scenarios="1" selectLockedCells="1"/>
  <mergeCells count="3">
    <mergeCell ref="K8:S16"/>
    <mergeCell ref="C61:Q61"/>
    <mergeCell ref="B1:Q1"/>
  </mergeCells>
  <printOptions horizontalCentered="1" verticalCentered="1"/>
  <pageMargins left="0.25" right="0.25" top="0.66" bottom="0.60666666666666669" header="0.25" footer="0.25"/>
  <pageSetup scale="80" fitToHeight="0" orientation="portrait" r:id="rId1"/>
  <headerFooter scaleWithDoc="0" alignWithMargins="0">
    <oddFooter>&amp;C&amp;9Page &amp;P&amp;R&amp;9&amp;A</oddFooter>
  </headerFooter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62"/>
  <sheetViews>
    <sheetView zoomScaleNormal="100" zoomScalePageLayoutView="75" workbookViewId="0">
      <selection activeCell="D17" sqref="D17:G17"/>
    </sheetView>
  </sheetViews>
  <sheetFormatPr defaultRowHeight="13.2"/>
  <cols>
    <col min="1" max="1" width="13.21875" style="22" customWidth="1"/>
    <col min="2" max="2" width="11" style="22" customWidth="1"/>
    <col min="3" max="3" width="14.44140625" style="22" customWidth="1"/>
    <col min="4" max="4" width="8.88671875" style="22"/>
    <col min="5" max="5" width="15.77734375" style="22" customWidth="1"/>
    <col min="6" max="6" width="10.77734375" style="22" customWidth="1"/>
    <col min="7" max="7" width="8.88671875" style="22"/>
    <col min="8" max="8" width="12.5546875" style="22" customWidth="1"/>
    <col min="9" max="9" width="12" style="22" customWidth="1"/>
    <col min="10" max="16384" width="8.88671875" style="22"/>
  </cols>
  <sheetData>
    <row r="1" spans="1:9">
      <c r="A1" s="165" t="s">
        <v>215</v>
      </c>
      <c r="B1" s="166"/>
      <c r="C1" s="63"/>
      <c r="D1" s="63"/>
      <c r="E1" s="63"/>
      <c r="F1" s="63"/>
      <c r="G1" s="63"/>
      <c r="H1" s="63"/>
      <c r="I1" s="167"/>
    </row>
    <row r="2" spans="1:9" ht="17.399999999999999">
      <c r="A2" s="177" t="s">
        <v>85</v>
      </c>
      <c r="B2" s="177"/>
      <c r="C2" s="177"/>
      <c r="D2" s="177"/>
      <c r="E2" s="177"/>
      <c r="F2" s="177"/>
      <c r="G2" s="177"/>
      <c r="H2" s="177"/>
      <c r="I2" s="177"/>
    </row>
    <row r="3" spans="1:9" ht="27.6">
      <c r="A3" s="178" t="s">
        <v>216</v>
      </c>
      <c r="B3" s="178"/>
      <c r="C3" s="178"/>
      <c r="D3" s="178"/>
      <c r="E3" s="178"/>
      <c r="F3" s="178"/>
      <c r="G3" s="178"/>
      <c r="H3" s="178"/>
      <c r="I3" s="178"/>
    </row>
    <row r="4" spans="1:9">
      <c r="A4" s="63"/>
      <c r="B4" s="63"/>
      <c r="C4" s="63"/>
      <c r="D4" s="63"/>
      <c r="E4" s="63"/>
      <c r="F4" s="63"/>
      <c r="G4" s="63"/>
      <c r="H4" s="63"/>
      <c r="I4" s="63"/>
    </row>
    <row r="5" spans="1:9" ht="15">
      <c r="A5" s="183">
        <f ca="1">TODAY()</f>
        <v>45509</v>
      </c>
      <c r="B5" s="183"/>
      <c r="C5" s="183"/>
      <c r="D5" s="183"/>
      <c r="E5" s="183"/>
      <c r="F5" s="183"/>
      <c r="G5" s="183"/>
      <c r="H5" s="183"/>
      <c r="I5" s="183"/>
    </row>
    <row r="6" spans="1:9">
      <c r="A6" s="63"/>
      <c r="B6" s="63"/>
      <c r="C6" s="63"/>
      <c r="D6" s="63"/>
      <c r="E6" s="63"/>
      <c r="F6" s="63"/>
      <c r="G6" s="63"/>
      <c r="H6" s="63"/>
      <c r="I6" s="63"/>
    </row>
    <row r="7" spans="1:9" ht="16.2" thickBot="1">
      <c r="A7" s="182"/>
      <c r="B7" s="182"/>
      <c r="D7" s="182"/>
      <c r="E7" s="182"/>
      <c r="G7" s="182"/>
      <c r="H7" s="182"/>
    </row>
    <row r="8" spans="1:9">
      <c r="A8" s="63"/>
      <c r="B8" s="63"/>
      <c r="C8" s="63"/>
      <c r="D8" s="63"/>
      <c r="E8" s="63"/>
      <c r="F8" s="63"/>
      <c r="G8" s="63"/>
      <c r="H8" s="63"/>
      <c r="I8" s="63"/>
    </row>
    <row r="9" spans="1:9" ht="15.6">
      <c r="A9" s="162" t="s">
        <v>86</v>
      </c>
      <c r="B9" s="63"/>
      <c r="C9" s="63"/>
      <c r="D9" s="63"/>
      <c r="E9" s="63"/>
      <c r="F9" s="63"/>
      <c r="G9" s="63"/>
      <c r="H9" s="63"/>
      <c r="I9" s="63"/>
    </row>
    <row r="10" spans="1:9" ht="15">
      <c r="A10" s="163" t="s">
        <v>87</v>
      </c>
      <c r="B10" s="63"/>
      <c r="C10" s="63"/>
      <c r="D10" s="63"/>
      <c r="E10" s="63"/>
      <c r="F10" s="63"/>
      <c r="G10" s="63"/>
      <c r="H10" s="63"/>
      <c r="I10" s="63"/>
    </row>
    <row r="11" spans="1:9" ht="15">
      <c r="A11" s="163" t="s">
        <v>88</v>
      </c>
      <c r="B11" s="63"/>
      <c r="C11" s="63"/>
      <c r="D11" s="63"/>
      <c r="E11" s="63"/>
      <c r="F11" s="63"/>
      <c r="G11" s="63"/>
      <c r="H11" s="63"/>
      <c r="I11" s="63"/>
    </row>
    <row r="12" spans="1:9">
      <c r="A12" s="63"/>
      <c r="B12" s="63"/>
      <c r="C12" s="63"/>
      <c r="D12" s="63"/>
      <c r="E12" s="63"/>
      <c r="F12" s="63"/>
      <c r="G12" s="63"/>
      <c r="H12" s="63"/>
      <c r="I12" s="63"/>
    </row>
    <row r="13" spans="1:9" ht="15">
      <c r="A13" s="163" t="s">
        <v>89</v>
      </c>
      <c r="B13" s="63"/>
      <c r="C13" s="63"/>
      <c r="D13" s="63"/>
      <c r="E13" s="63"/>
      <c r="F13" s="63"/>
      <c r="G13" s="63"/>
      <c r="H13" s="63"/>
      <c r="I13" s="63"/>
    </row>
    <row r="14" spans="1:9">
      <c r="A14" s="63"/>
      <c r="B14" s="63"/>
      <c r="C14" s="63"/>
      <c r="D14" s="63"/>
      <c r="E14" s="63"/>
      <c r="F14" s="63"/>
      <c r="G14" s="63"/>
      <c r="H14" s="63"/>
      <c r="I14" s="63"/>
    </row>
    <row r="15" spans="1:9" s="159" customFormat="1" ht="27.6">
      <c r="A15" s="164" t="s">
        <v>98</v>
      </c>
      <c r="B15" s="164" t="s">
        <v>91</v>
      </c>
      <c r="C15" s="164" t="s">
        <v>90</v>
      </c>
      <c r="D15" s="179" t="s">
        <v>92</v>
      </c>
      <c r="E15" s="180"/>
      <c r="F15" s="180"/>
      <c r="G15" s="180"/>
      <c r="H15" s="164" t="s">
        <v>99</v>
      </c>
      <c r="I15" s="164" t="s">
        <v>93</v>
      </c>
    </row>
    <row r="16" spans="1:9">
      <c r="A16" s="160"/>
      <c r="B16" s="161"/>
      <c r="C16" s="40"/>
      <c r="D16" s="181"/>
      <c r="E16" s="176"/>
      <c r="F16" s="176"/>
      <c r="G16" s="176"/>
      <c r="H16" s="40"/>
      <c r="I16" s="40"/>
    </row>
    <row r="17" spans="1:9">
      <c r="A17" s="160"/>
      <c r="B17" s="161"/>
      <c r="C17" s="40"/>
      <c r="D17" s="176"/>
      <c r="E17" s="176"/>
      <c r="F17" s="176"/>
      <c r="G17" s="176"/>
      <c r="H17" s="40"/>
      <c r="I17" s="40"/>
    </row>
    <row r="18" spans="1:9">
      <c r="A18" s="160"/>
      <c r="B18" s="161"/>
      <c r="C18" s="40"/>
      <c r="D18" s="176"/>
      <c r="E18" s="176"/>
      <c r="F18" s="176"/>
      <c r="G18" s="176"/>
      <c r="H18" s="40"/>
      <c r="I18" s="40"/>
    </row>
    <row r="19" spans="1:9">
      <c r="A19" s="160"/>
      <c r="B19" s="161"/>
      <c r="C19" s="40"/>
      <c r="D19" s="176"/>
      <c r="E19" s="176"/>
      <c r="F19" s="176"/>
      <c r="G19" s="176"/>
      <c r="H19" s="40"/>
      <c r="I19" s="40"/>
    </row>
    <row r="20" spans="1:9">
      <c r="A20" s="160"/>
      <c r="B20" s="161"/>
      <c r="C20" s="40"/>
      <c r="D20" s="176"/>
      <c r="E20" s="176"/>
      <c r="F20" s="176"/>
      <c r="G20" s="176"/>
      <c r="H20" s="40"/>
      <c r="I20" s="40"/>
    </row>
    <row r="21" spans="1:9">
      <c r="A21" s="160"/>
      <c r="B21" s="161"/>
      <c r="C21" s="40"/>
      <c r="D21" s="176"/>
      <c r="E21" s="176"/>
      <c r="F21" s="176"/>
      <c r="G21" s="176"/>
      <c r="H21" s="40"/>
      <c r="I21" s="40"/>
    </row>
    <row r="22" spans="1:9">
      <c r="A22" s="160"/>
      <c r="B22" s="161"/>
      <c r="C22" s="40"/>
      <c r="D22" s="176"/>
      <c r="E22" s="176"/>
      <c r="F22" s="176"/>
      <c r="G22" s="176"/>
      <c r="H22" s="40"/>
      <c r="I22" s="40"/>
    </row>
    <row r="23" spans="1:9">
      <c r="A23" s="160"/>
      <c r="B23" s="161"/>
      <c r="C23" s="40"/>
      <c r="D23" s="176"/>
      <c r="E23" s="176"/>
      <c r="F23" s="176"/>
      <c r="G23" s="176"/>
      <c r="H23" s="40"/>
      <c r="I23" s="40"/>
    </row>
    <row r="24" spans="1:9">
      <c r="A24" s="160"/>
      <c r="B24" s="161"/>
      <c r="C24" s="40"/>
      <c r="D24" s="176"/>
      <c r="E24" s="176"/>
      <c r="F24" s="176"/>
      <c r="G24" s="176"/>
      <c r="H24" s="40"/>
      <c r="I24" s="40"/>
    </row>
    <row r="25" spans="1:9">
      <c r="A25" s="160"/>
      <c r="B25" s="161"/>
      <c r="C25" s="40"/>
      <c r="D25" s="176"/>
      <c r="E25" s="176"/>
      <c r="F25" s="176"/>
      <c r="G25" s="176"/>
      <c r="H25" s="40"/>
      <c r="I25" s="40"/>
    </row>
    <row r="26" spans="1:9">
      <c r="A26" s="160"/>
      <c r="B26" s="161"/>
      <c r="C26" s="40"/>
      <c r="D26" s="176"/>
      <c r="E26" s="176"/>
      <c r="F26" s="176"/>
      <c r="G26" s="176"/>
      <c r="H26" s="40"/>
      <c r="I26" s="40"/>
    </row>
    <row r="27" spans="1:9">
      <c r="A27" s="160"/>
      <c r="B27" s="161"/>
      <c r="C27" s="40"/>
      <c r="D27" s="176"/>
      <c r="E27" s="176"/>
      <c r="F27" s="176"/>
      <c r="G27" s="176"/>
      <c r="H27" s="40"/>
      <c r="I27" s="40"/>
    </row>
    <row r="28" spans="1:9">
      <c r="A28" s="160"/>
      <c r="B28" s="161"/>
      <c r="C28" s="40"/>
      <c r="D28" s="176"/>
      <c r="E28" s="176"/>
      <c r="F28" s="176"/>
      <c r="G28" s="176"/>
      <c r="H28" s="40"/>
      <c r="I28" s="40"/>
    </row>
    <row r="29" spans="1:9">
      <c r="A29" s="160"/>
      <c r="B29" s="161"/>
      <c r="C29" s="40"/>
      <c r="D29" s="176"/>
      <c r="E29" s="176"/>
      <c r="F29" s="176"/>
      <c r="G29" s="176"/>
      <c r="H29" s="40"/>
      <c r="I29" s="40"/>
    </row>
    <row r="30" spans="1:9">
      <c r="A30" s="160"/>
      <c r="B30" s="161"/>
      <c r="C30" s="40"/>
      <c r="D30" s="176"/>
      <c r="E30" s="176"/>
      <c r="F30" s="176"/>
      <c r="G30" s="176"/>
      <c r="H30" s="40"/>
      <c r="I30" s="40"/>
    </row>
    <row r="31" spans="1:9">
      <c r="A31" s="160"/>
      <c r="B31" s="161"/>
      <c r="C31" s="40"/>
      <c r="D31" s="176"/>
      <c r="E31" s="176"/>
      <c r="F31" s="176"/>
      <c r="G31" s="176"/>
      <c r="H31" s="40"/>
      <c r="I31" s="40"/>
    </row>
    <row r="32" spans="1:9">
      <c r="A32" s="160"/>
      <c r="B32" s="161"/>
      <c r="C32" s="40"/>
      <c r="D32" s="176"/>
      <c r="E32" s="176"/>
      <c r="F32" s="176"/>
      <c r="G32" s="176"/>
      <c r="H32" s="40"/>
      <c r="I32" s="40"/>
    </row>
    <row r="33" spans="1:9">
      <c r="A33" s="160"/>
      <c r="B33" s="161"/>
      <c r="C33" s="40"/>
      <c r="D33" s="176"/>
      <c r="E33" s="176"/>
      <c r="F33" s="176"/>
      <c r="G33" s="176"/>
      <c r="H33" s="40"/>
      <c r="I33" s="40"/>
    </row>
    <row r="34" spans="1:9">
      <c r="A34" s="160"/>
      <c r="B34" s="161"/>
      <c r="C34" s="40"/>
      <c r="D34" s="176"/>
      <c r="E34" s="176"/>
      <c r="F34" s="176"/>
      <c r="G34" s="176"/>
      <c r="H34" s="40"/>
      <c r="I34" s="40"/>
    </row>
    <row r="35" spans="1:9">
      <c r="A35" s="160"/>
      <c r="B35" s="161"/>
      <c r="C35" s="40"/>
      <c r="D35" s="176"/>
      <c r="E35" s="176"/>
      <c r="F35" s="176"/>
      <c r="G35" s="176"/>
      <c r="H35" s="40"/>
      <c r="I35" s="40"/>
    </row>
    <row r="36" spans="1:9">
      <c r="A36" s="160"/>
      <c r="B36" s="161"/>
      <c r="C36" s="40"/>
      <c r="D36" s="176"/>
      <c r="E36" s="176"/>
      <c r="F36" s="176"/>
      <c r="G36" s="176"/>
      <c r="H36" s="40"/>
      <c r="I36" s="40"/>
    </row>
    <row r="37" spans="1:9">
      <c r="A37" s="160"/>
      <c r="B37" s="161"/>
      <c r="C37" s="40"/>
      <c r="D37" s="176"/>
      <c r="E37" s="176"/>
      <c r="F37" s="176"/>
      <c r="G37" s="176"/>
      <c r="H37" s="40"/>
      <c r="I37" s="40"/>
    </row>
    <row r="38" spans="1:9">
      <c r="A38" s="160"/>
      <c r="B38" s="161"/>
      <c r="C38" s="40"/>
      <c r="D38" s="176"/>
      <c r="E38" s="176"/>
      <c r="F38" s="176"/>
      <c r="G38" s="176"/>
      <c r="H38" s="40"/>
      <c r="I38" s="40"/>
    </row>
    <row r="39" spans="1:9">
      <c r="A39" s="160"/>
      <c r="B39" s="161"/>
      <c r="C39" s="40"/>
      <c r="D39" s="176"/>
      <c r="E39" s="176"/>
      <c r="F39" s="176"/>
      <c r="G39" s="176"/>
      <c r="H39" s="40"/>
      <c r="I39" s="40"/>
    </row>
    <row r="40" spans="1:9">
      <c r="A40" s="160"/>
      <c r="B40" s="161"/>
      <c r="C40" s="40"/>
      <c r="D40" s="176"/>
      <c r="E40" s="176"/>
      <c r="F40" s="176"/>
      <c r="G40" s="176"/>
      <c r="H40" s="40"/>
      <c r="I40" s="40"/>
    </row>
    <row r="41" spans="1:9">
      <c r="A41" s="160"/>
      <c r="B41" s="161"/>
      <c r="C41" s="40"/>
      <c r="D41" s="176"/>
      <c r="E41" s="176"/>
      <c r="F41" s="176"/>
      <c r="G41" s="176"/>
      <c r="H41" s="40"/>
      <c r="I41" s="40"/>
    </row>
    <row r="42" spans="1:9">
      <c r="A42" s="160"/>
      <c r="B42" s="161"/>
      <c r="C42" s="40"/>
      <c r="D42" s="176"/>
      <c r="E42" s="176"/>
      <c r="F42" s="176"/>
      <c r="G42" s="176"/>
      <c r="H42" s="40"/>
      <c r="I42" s="40"/>
    </row>
    <row r="43" spans="1:9">
      <c r="A43" s="160"/>
      <c r="B43" s="161"/>
      <c r="C43" s="40"/>
      <c r="D43" s="176"/>
      <c r="E43" s="176"/>
      <c r="F43" s="176"/>
      <c r="G43" s="176"/>
      <c r="H43" s="40"/>
      <c r="I43" s="40"/>
    </row>
    <row r="44" spans="1:9">
      <c r="A44" s="160"/>
      <c r="B44" s="161"/>
      <c r="C44" s="40"/>
      <c r="D44" s="176"/>
      <c r="E44" s="176"/>
      <c r="F44" s="176"/>
      <c r="G44" s="176"/>
      <c r="H44" s="40"/>
      <c r="I44" s="40"/>
    </row>
    <row r="45" spans="1:9">
      <c r="A45" s="160"/>
      <c r="B45" s="161"/>
      <c r="C45" s="40"/>
      <c r="D45" s="176"/>
      <c r="E45" s="176"/>
      <c r="F45" s="176"/>
      <c r="G45" s="176"/>
      <c r="H45" s="40"/>
      <c r="I45" s="40"/>
    </row>
    <row r="46" spans="1:9">
      <c r="A46" s="160"/>
      <c r="B46" s="161"/>
      <c r="C46" s="40"/>
      <c r="D46" s="176"/>
      <c r="E46" s="176"/>
      <c r="F46" s="176"/>
      <c r="G46" s="176"/>
      <c r="H46" s="40"/>
      <c r="I46" s="40"/>
    </row>
    <row r="47" spans="1:9">
      <c r="A47" s="160"/>
      <c r="B47" s="161"/>
      <c r="C47" s="40"/>
      <c r="D47" s="176"/>
      <c r="E47" s="176"/>
      <c r="F47" s="176"/>
      <c r="G47" s="176"/>
      <c r="H47" s="40"/>
      <c r="I47" s="40"/>
    </row>
    <row r="48" spans="1:9">
      <c r="A48" s="160"/>
      <c r="B48" s="161"/>
      <c r="C48" s="40"/>
      <c r="D48" s="176"/>
      <c r="E48" s="176"/>
      <c r="F48" s="176"/>
      <c r="G48" s="176"/>
      <c r="H48" s="40"/>
      <c r="I48" s="40"/>
    </row>
    <row r="49" spans="1:9">
      <c r="A49" s="160"/>
      <c r="B49" s="161"/>
      <c r="C49" s="40"/>
      <c r="D49" s="176"/>
      <c r="E49" s="176"/>
      <c r="F49" s="176"/>
      <c r="G49" s="176"/>
      <c r="H49" s="40"/>
      <c r="I49" s="40"/>
    </row>
    <row r="50" spans="1:9">
      <c r="A50" s="160"/>
      <c r="B50" s="161"/>
      <c r="C50" s="40"/>
      <c r="D50" s="176"/>
      <c r="E50" s="176"/>
      <c r="F50" s="176"/>
      <c r="G50" s="176"/>
      <c r="H50" s="40"/>
      <c r="I50" s="40"/>
    </row>
    <row r="51" spans="1:9">
      <c r="A51" s="160"/>
      <c r="B51" s="161"/>
      <c r="C51" s="40"/>
      <c r="D51" s="176"/>
      <c r="E51" s="176"/>
      <c r="F51" s="176"/>
      <c r="G51" s="176"/>
      <c r="H51" s="40"/>
      <c r="I51" s="40"/>
    </row>
    <row r="52" spans="1:9">
      <c r="A52" s="160"/>
      <c r="B52" s="161"/>
      <c r="C52" s="40"/>
      <c r="D52" s="176"/>
      <c r="E52" s="176"/>
      <c r="F52" s="176"/>
      <c r="G52" s="176"/>
      <c r="H52" s="40"/>
      <c r="I52" s="40"/>
    </row>
    <row r="53" spans="1:9">
      <c r="A53" s="160"/>
      <c r="B53" s="161"/>
      <c r="C53" s="40"/>
      <c r="D53" s="176"/>
      <c r="E53" s="176"/>
      <c r="F53" s="176"/>
      <c r="G53" s="176"/>
      <c r="H53" s="40"/>
      <c r="I53" s="40"/>
    </row>
    <row r="54" spans="1:9">
      <c r="A54" s="160"/>
      <c r="B54" s="161"/>
      <c r="C54" s="40"/>
      <c r="D54" s="176"/>
      <c r="E54" s="176"/>
      <c r="F54" s="176"/>
      <c r="G54" s="176"/>
      <c r="H54" s="40"/>
      <c r="I54" s="40"/>
    </row>
    <row r="55" spans="1:9">
      <c r="A55" s="160"/>
      <c r="B55" s="161"/>
      <c r="C55" s="40"/>
      <c r="D55" s="176"/>
      <c r="E55" s="176"/>
      <c r="F55" s="176"/>
      <c r="G55" s="176"/>
      <c r="H55" s="40"/>
      <c r="I55" s="40"/>
    </row>
    <row r="56" spans="1:9">
      <c r="A56" s="160"/>
      <c r="B56" s="161"/>
      <c r="C56" s="40"/>
      <c r="D56" s="176"/>
      <c r="E56" s="176"/>
      <c r="F56" s="176"/>
      <c r="G56" s="176"/>
      <c r="H56" s="40"/>
      <c r="I56" s="40"/>
    </row>
    <row r="57" spans="1:9">
      <c r="A57" s="160"/>
      <c r="B57" s="161"/>
      <c r="C57" s="40"/>
      <c r="D57" s="176"/>
      <c r="E57" s="176"/>
      <c r="F57" s="176"/>
      <c r="G57" s="176"/>
      <c r="H57" s="40"/>
      <c r="I57" s="40"/>
    </row>
    <row r="58" spans="1:9">
      <c r="A58" s="160"/>
      <c r="B58" s="161"/>
      <c r="C58" s="40"/>
      <c r="D58" s="176"/>
      <c r="E58" s="176"/>
      <c r="F58" s="176"/>
      <c r="G58" s="176"/>
      <c r="H58" s="40"/>
      <c r="I58" s="40"/>
    </row>
    <row r="59" spans="1:9">
      <c r="A59" s="160"/>
      <c r="B59" s="161"/>
      <c r="C59" s="40"/>
      <c r="D59" s="173"/>
      <c r="E59" s="174"/>
      <c r="F59" s="174"/>
      <c r="G59" s="175"/>
      <c r="H59" s="40"/>
      <c r="I59" s="40"/>
    </row>
    <row r="60" spans="1:9">
      <c r="A60" s="160"/>
      <c r="B60" s="161"/>
      <c r="C60" s="40"/>
      <c r="D60" s="173"/>
      <c r="E60" s="174"/>
      <c r="F60" s="174"/>
      <c r="G60" s="175"/>
      <c r="H60" s="40"/>
      <c r="I60" s="40"/>
    </row>
    <row r="61" spans="1:9">
      <c r="A61" s="160"/>
      <c r="B61" s="161"/>
      <c r="C61" s="40"/>
      <c r="D61" s="173"/>
      <c r="E61" s="174"/>
      <c r="F61" s="174"/>
      <c r="G61" s="175"/>
      <c r="H61" s="40"/>
      <c r="I61" s="40"/>
    </row>
    <row r="62" spans="1:9">
      <c r="A62" s="160"/>
      <c r="B62" s="161"/>
      <c r="C62" s="40"/>
      <c r="D62" s="173"/>
      <c r="E62" s="174"/>
      <c r="F62" s="174"/>
      <c r="G62" s="175"/>
      <c r="H62" s="40"/>
      <c r="I62" s="40"/>
    </row>
  </sheetData>
  <sheetProtection sheet="1" objects="1" scenarios="1" selectLockedCells="1"/>
  <mergeCells count="54">
    <mergeCell ref="D33:G33"/>
    <mergeCell ref="D34:G34"/>
    <mergeCell ref="D35:G35"/>
    <mergeCell ref="A5:I5"/>
    <mergeCell ref="D28:G28"/>
    <mergeCell ref="D29:G29"/>
    <mergeCell ref="D30:G30"/>
    <mergeCell ref="D31:G31"/>
    <mergeCell ref="D32:G32"/>
    <mergeCell ref="D23:G23"/>
    <mergeCell ref="D24:G24"/>
    <mergeCell ref="D25:G25"/>
    <mergeCell ref="D26:G26"/>
    <mergeCell ref="D27:G27"/>
    <mergeCell ref="A2:I2"/>
    <mergeCell ref="A3:I3"/>
    <mergeCell ref="D21:G21"/>
    <mergeCell ref="D22:G22"/>
    <mergeCell ref="D15:G15"/>
    <mergeCell ref="D16:G16"/>
    <mergeCell ref="D17:G17"/>
    <mergeCell ref="D18:G18"/>
    <mergeCell ref="D19:G19"/>
    <mergeCell ref="D20:G20"/>
    <mergeCell ref="A7:B7"/>
    <mergeCell ref="D7:E7"/>
    <mergeCell ref="G7:H7"/>
    <mergeCell ref="D49:G49"/>
    <mergeCell ref="D50:G50"/>
    <mergeCell ref="D51:G51"/>
    <mergeCell ref="D36:G36"/>
    <mergeCell ref="D37:G37"/>
    <mergeCell ref="D38:G38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60:G60"/>
    <mergeCell ref="D61:G61"/>
    <mergeCell ref="D62:G62"/>
    <mergeCell ref="D52:G52"/>
    <mergeCell ref="D53:G53"/>
    <mergeCell ref="D54:G54"/>
    <mergeCell ref="D55:G55"/>
    <mergeCell ref="D56:G56"/>
    <mergeCell ref="D57:G57"/>
    <mergeCell ref="D58:G58"/>
    <mergeCell ref="D59:G59"/>
  </mergeCells>
  <phoneticPr fontId="0" type="noConversion"/>
  <pageMargins left="0.75" right="0.75" top="0.75" bottom="0.75" header="0.5" footer="0.5"/>
  <pageSetup scale="84" orientation="portrait" r:id="rId1"/>
  <headerFooter alignWithMargins="0"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workbookViewId="0"/>
  </sheetViews>
  <sheetFormatPr defaultColWidth="9.21875" defaultRowHeight="13.2"/>
  <cols>
    <col min="1" max="16384" width="9.21875" style="111"/>
  </cols>
  <sheetData>
    <row r="1" spans="1:14">
      <c r="A1" s="111" t="s">
        <v>204</v>
      </c>
      <c r="N1" s="111" t="s">
        <v>205</v>
      </c>
    </row>
  </sheetData>
  <sheetProtection password="8819" sheet="1"/>
  <phoneticPr fontId="3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:AI132"/>
  <sheetViews>
    <sheetView topLeftCell="A17" zoomScale="75" zoomScaleNormal="75" workbookViewId="0">
      <selection activeCell="G40" sqref="G40"/>
    </sheetView>
  </sheetViews>
  <sheetFormatPr defaultRowHeight="13.2"/>
  <cols>
    <col min="4" max="4" width="11.77734375" customWidth="1"/>
    <col min="5" max="5" width="13.5546875" customWidth="1"/>
    <col min="6" max="6" width="13.77734375" hidden="1" customWidth="1"/>
    <col min="7" max="7" width="14.21875" customWidth="1"/>
    <col min="8" max="10" width="1.77734375" customWidth="1"/>
    <col min="11" max="11" width="15.77734375" customWidth="1"/>
    <col min="12" max="12" width="20.44140625" hidden="1" customWidth="1"/>
    <col min="13" max="15" width="1.77734375" customWidth="1"/>
    <col min="16" max="16" width="14.21875" style="44" customWidth="1"/>
    <col min="17" max="17" width="10.77734375" customWidth="1"/>
    <col min="18" max="18" width="13.77734375" hidden="1" customWidth="1"/>
    <col min="19" max="19" width="11.21875" customWidth="1"/>
    <col min="21" max="22" width="2.77734375" customWidth="1"/>
    <col min="28" max="28" width="13.5546875" customWidth="1"/>
    <col min="29" max="29" width="9.21875" hidden="1" customWidth="1"/>
    <col min="30" max="30" width="11.44140625" customWidth="1"/>
    <col min="31" max="31" width="1.77734375" customWidth="1"/>
    <col min="32" max="32" width="2" customWidth="1"/>
    <col min="33" max="33" width="1.77734375" customWidth="1"/>
    <col min="35" max="35" width="1.77734375" hidden="1" customWidth="1"/>
    <col min="36" max="38" width="1.77734375" customWidth="1"/>
    <col min="39" max="39" width="14.21875" customWidth="1"/>
  </cols>
  <sheetData>
    <row r="1" spans="1:19" ht="18.75" customHeight="1">
      <c r="A1" s="19" t="s">
        <v>213</v>
      </c>
      <c r="B1" s="19"/>
      <c r="E1" s="6" t="s">
        <v>0</v>
      </c>
      <c r="F1" s="2"/>
      <c r="G1" s="2"/>
      <c r="H1" s="2"/>
      <c r="I1" s="2"/>
      <c r="J1" s="2"/>
      <c r="Q1" s="20"/>
      <c r="R1" s="20"/>
    </row>
    <row r="2" spans="1:19" ht="12.75" customHeight="1">
      <c r="A2" s="19"/>
      <c r="B2" s="19"/>
      <c r="E2" s="6"/>
      <c r="F2" s="2"/>
      <c r="G2" s="2"/>
      <c r="H2" s="2"/>
      <c r="I2" s="2"/>
      <c r="J2" s="2"/>
      <c r="Q2" s="20"/>
      <c r="R2" s="20"/>
      <c r="S2" s="20"/>
    </row>
    <row r="3" spans="1:19">
      <c r="A3" s="43"/>
      <c r="B3" s="53"/>
      <c r="C3" s="53"/>
      <c r="D3" s="3"/>
      <c r="E3" s="43"/>
      <c r="F3" s="41"/>
      <c r="G3" s="53"/>
      <c r="H3" s="27"/>
      <c r="I3" s="27"/>
      <c r="J3" s="27"/>
      <c r="K3" s="3"/>
      <c r="L3" s="3"/>
      <c r="M3" s="3"/>
      <c r="N3" s="3"/>
      <c r="O3" s="3"/>
      <c r="P3" s="45"/>
      <c r="Q3" s="53"/>
      <c r="R3" s="53"/>
      <c r="S3" s="53"/>
    </row>
    <row r="4" spans="1:19">
      <c r="A4" s="3" t="s">
        <v>2</v>
      </c>
      <c r="B4" s="3"/>
      <c r="C4" s="3"/>
      <c r="E4" t="s">
        <v>3</v>
      </c>
      <c r="P4" s="46" t="s">
        <v>95</v>
      </c>
      <c r="Q4" s="34"/>
      <c r="R4" s="34"/>
    </row>
    <row r="6" spans="1:19">
      <c r="A6" t="s">
        <v>11</v>
      </c>
      <c r="D6" s="21"/>
      <c r="E6" t="s">
        <v>101</v>
      </c>
      <c r="K6" s="21"/>
      <c r="L6" s="35"/>
      <c r="M6" s="54" t="s">
        <v>96</v>
      </c>
      <c r="N6" s="55"/>
      <c r="O6" s="55"/>
      <c r="Q6" s="28" t="s">
        <v>97</v>
      </c>
      <c r="R6" s="28"/>
      <c r="S6" s="21"/>
    </row>
    <row r="7" spans="1:19" ht="24.75" customHeight="1">
      <c r="A7" s="1" t="s">
        <v>12</v>
      </c>
    </row>
    <row r="8" spans="1:19">
      <c r="A8" s="5" t="s">
        <v>102</v>
      </c>
      <c r="G8" s="80"/>
      <c r="H8" s="56"/>
      <c r="I8" s="56"/>
      <c r="J8" s="56"/>
      <c r="K8" s="169"/>
      <c r="L8" s="170"/>
      <c r="M8" s="170"/>
      <c r="N8" s="170"/>
      <c r="O8" s="170"/>
      <c r="P8" s="170"/>
      <c r="Q8" s="170"/>
      <c r="R8" s="170"/>
      <c r="S8" s="170"/>
    </row>
    <row r="9" spans="1:19">
      <c r="A9" s="5" t="s">
        <v>140</v>
      </c>
      <c r="G9" s="85">
        <f>B99</f>
        <v>0</v>
      </c>
      <c r="H9" s="56"/>
      <c r="I9" s="56"/>
      <c r="J9" s="56"/>
      <c r="K9" s="170"/>
      <c r="L9" s="170"/>
      <c r="M9" s="170"/>
      <c r="N9" s="170"/>
      <c r="O9" s="170"/>
      <c r="P9" s="170"/>
      <c r="Q9" s="170"/>
      <c r="R9" s="170"/>
      <c r="S9" s="170"/>
    </row>
    <row r="10" spans="1:19">
      <c r="A10" s="5" t="s">
        <v>118</v>
      </c>
      <c r="G10" s="80"/>
      <c r="H10" s="56"/>
      <c r="I10" s="56"/>
      <c r="J10" s="56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>
      <c r="A11" s="5" t="s">
        <v>121</v>
      </c>
      <c r="G11" s="80"/>
      <c r="H11" s="56"/>
      <c r="I11" s="56"/>
      <c r="J11" s="56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>
      <c r="A12" s="5" t="s">
        <v>122</v>
      </c>
      <c r="G12" s="80"/>
      <c r="H12" s="56"/>
      <c r="I12" s="56"/>
      <c r="J12" s="56"/>
      <c r="K12" s="170"/>
      <c r="L12" s="170"/>
      <c r="M12" s="170"/>
      <c r="N12" s="170"/>
      <c r="O12" s="170"/>
      <c r="P12" s="170"/>
      <c r="Q12" s="170"/>
      <c r="R12" s="170"/>
      <c r="S12" s="170"/>
    </row>
    <row r="13" spans="1:19">
      <c r="A13" s="5" t="s">
        <v>131</v>
      </c>
      <c r="G13" s="80"/>
      <c r="H13" s="56"/>
      <c r="I13" s="56"/>
      <c r="J13" s="56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19">
      <c r="A14" s="5" t="s">
        <v>132</v>
      </c>
      <c r="G14" s="81">
        <f>SUM(G8:G13)</f>
        <v>0</v>
      </c>
      <c r="H14" s="29"/>
      <c r="I14" s="29"/>
      <c r="J14" s="29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19">
      <c r="A15" s="5" t="s">
        <v>123</v>
      </c>
      <c r="G15" s="80"/>
      <c r="H15" s="27"/>
      <c r="I15" s="27"/>
      <c r="J15" s="27"/>
      <c r="K15" s="170"/>
      <c r="L15" s="170"/>
      <c r="M15" s="170"/>
      <c r="N15" s="170"/>
      <c r="O15" s="170"/>
      <c r="P15" s="170"/>
      <c r="Q15" s="170"/>
      <c r="R15" s="170"/>
      <c r="S15" s="170"/>
    </row>
    <row r="16" spans="1:19">
      <c r="A16" s="5" t="s">
        <v>124</v>
      </c>
      <c r="G16" s="82">
        <f>SUM(G14:G15)</f>
        <v>0</v>
      </c>
      <c r="H16" s="36"/>
      <c r="I16" s="36"/>
      <c r="J16" s="36"/>
      <c r="K16" s="170"/>
      <c r="L16" s="170"/>
      <c r="M16" s="170"/>
      <c r="N16" s="170"/>
      <c r="O16" s="170"/>
      <c r="P16" s="170"/>
      <c r="Q16" s="170"/>
      <c r="R16" s="170"/>
      <c r="S16" s="170"/>
    </row>
    <row r="17" spans="1:19" ht="12.75" customHeight="1">
      <c r="H17" s="14"/>
      <c r="I17" s="14"/>
      <c r="J17" s="14"/>
    </row>
    <row r="18" spans="1:19">
      <c r="A18" s="1" t="s">
        <v>19</v>
      </c>
      <c r="H18" s="14"/>
      <c r="I18" s="14"/>
      <c r="J18" s="14"/>
    </row>
    <row r="19" spans="1:19">
      <c r="A19" s="5" t="s">
        <v>130</v>
      </c>
      <c r="G19" s="84">
        <f>G8</f>
        <v>0</v>
      </c>
      <c r="H19" s="57">
        <f t="shared" ref="H19:H26" si="0">ROUNDUP(G19,0)</f>
        <v>0</v>
      </c>
      <c r="I19" s="27"/>
      <c r="J19" s="27"/>
      <c r="K19" s="5" t="s">
        <v>103</v>
      </c>
      <c r="L19" s="5"/>
      <c r="M19" s="5"/>
      <c r="N19" s="5"/>
      <c r="O19" s="5"/>
      <c r="P19" s="50">
        <f>H19*2500</f>
        <v>0</v>
      </c>
    </row>
    <row r="20" spans="1:19">
      <c r="A20" s="5" t="s">
        <v>125</v>
      </c>
      <c r="G20" s="85">
        <f>D100</f>
        <v>0</v>
      </c>
      <c r="H20" s="57"/>
      <c r="I20" s="27"/>
      <c r="J20" s="27"/>
      <c r="K20" s="5" t="s">
        <v>104</v>
      </c>
      <c r="L20" s="5"/>
      <c r="M20" s="5"/>
      <c r="N20" s="5"/>
      <c r="O20" s="5"/>
      <c r="P20" s="50">
        <f>G20*10000</f>
        <v>0</v>
      </c>
    </row>
    <row r="21" spans="1:19">
      <c r="A21" s="5" t="s">
        <v>126</v>
      </c>
      <c r="G21" s="85">
        <f>G10</f>
        <v>0</v>
      </c>
      <c r="H21" s="57">
        <f t="shared" si="0"/>
        <v>0</v>
      </c>
      <c r="I21" s="27"/>
      <c r="J21" s="27"/>
      <c r="K21" s="5" t="s">
        <v>105</v>
      </c>
      <c r="L21" s="5"/>
      <c r="M21" s="5"/>
      <c r="N21" s="5"/>
      <c r="O21" s="5"/>
      <c r="P21" s="50">
        <f>H21*7500</f>
        <v>0</v>
      </c>
    </row>
    <row r="22" spans="1:19">
      <c r="A22" s="5" t="s">
        <v>127</v>
      </c>
      <c r="G22" s="84">
        <f>G11</f>
        <v>0</v>
      </c>
      <c r="H22" s="57">
        <f t="shared" si="0"/>
        <v>0</v>
      </c>
      <c r="I22" s="58"/>
      <c r="J22" s="58"/>
      <c r="K22" s="5" t="s">
        <v>106</v>
      </c>
      <c r="L22" s="5"/>
      <c r="M22" s="5"/>
      <c r="N22" s="5"/>
      <c r="O22" s="5"/>
      <c r="P22" s="50">
        <f>H22*2000</f>
        <v>0</v>
      </c>
    </row>
    <row r="23" spans="1:19">
      <c r="A23" s="5" t="s">
        <v>128</v>
      </c>
      <c r="E23" s="59"/>
      <c r="F23" s="5" t="s">
        <v>25</v>
      </c>
      <c r="G23" s="86">
        <f>G13</f>
        <v>0</v>
      </c>
      <c r="H23" s="57">
        <f t="shared" si="0"/>
        <v>0</v>
      </c>
      <c r="I23" s="60"/>
      <c r="J23" s="60"/>
      <c r="K23" s="61" t="s">
        <v>107</v>
      </c>
      <c r="P23" s="62">
        <f>H23*3500</f>
        <v>0</v>
      </c>
      <c r="R23" s="37"/>
    </row>
    <row r="24" spans="1:19">
      <c r="A24" s="5" t="s">
        <v>129</v>
      </c>
      <c r="B24" s="5"/>
      <c r="C24" s="5"/>
      <c r="D24" s="5"/>
      <c r="E24" s="5" t="s">
        <v>108</v>
      </c>
      <c r="F24" s="44"/>
      <c r="G24" s="84">
        <f>IF(G12&gt;0,IF(G12&lt;=2,G12,2),0)</f>
        <v>0</v>
      </c>
      <c r="H24" s="57">
        <f t="shared" si="0"/>
        <v>0</v>
      </c>
      <c r="I24" s="63"/>
      <c r="J24" s="63"/>
      <c r="K24" s="64" t="s">
        <v>109</v>
      </c>
      <c r="L24" s="11"/>
      <c r="M24" s="11"/>
      <c r="N24" s="11"/>
      <c r="O24" s="11"/>
      <c r="P24" s="65">
        <f>IF(H24&gt;0,20000,0)</f>
        <v>0</v>
      </c>
      <c r="Q24" s="37"/>
      <c r="R24" s="37"/>
    </row>
    <row r="25" spans="1:19">
      <c r="E25" s="5" t="s">
        <v>27</v>
      </c>
      <c r="G25" s="84">
        <f>IF(G12&lt;=2,0,IF(G12&lt;=10,(G12-2),IF(G12&gt;10,8)))</f>
        <v>0</v>
      </c>
      <c r="H25" s="57">
        <f t="shared" si="0"/>
        <v>0</v>
      </c>
      <c r="I25" s="63"/>
      <c r="J25" s="63"/>
      <c r="K25" s="64" t="s">
        <v>110</v>
      </c>
      <c r="L25" s="64"/>
      <c r="M25" s="64"/>
      <c r="N25" s="64"/>
      <c r="O25" s="64"/>
      <c r="P25" s="83">
        <f>IF(G12&lt;=2,0,IF(G12&lt;=10,(H25)*4000,IF(G12&gt;10,32000)))</f>
        <v>0</v>
      </c>
      <c r="R25" s="31"/>
    </row>
    <row r="26" spans="1:19">
      <c r="E26" s="5" t="s">
        <v>28</v>
      </c>
      <c r="G26" s="84">
        <f>IF(G12&gt;10,(G12-10),0)</f>
        <v>0</v>
      </c>
      <c r="H26" s="57">
        <f t="shared" si="0"/>
        <v>0</v>
      </c>
      <c r="I26" s="63"/>
      <c r="J26" s="63"/>
      <c r="K26" s="66" t="s">
        <v>111</v>
      </c>
      <c r="P26" s="67">
        <f>IF(G12&gt;10,(H26)*2500,0)</f>
        <v>0</v>
      </c>
      <c r="R26" s="38"/>
    </row>
    <row r="27" spans="1:19" ht="13.8" thickBot="1">
      <c r="G27" t="s">
        <v>32</v>
      </c>
      <c r="P27" s="51">
        <f>SUM(P19:P26)</f>
        <v>0</v>
      </c>
    </row>
    <row r="28" spans="1:19" ht="12.75" customHeight="1">
      <c r="G28" t="s">
        <v>112</v>
      </c>
      <c r="P28" s="44" t="s">
        <v>113</v>
      </c>
    </row>
    <row r="29" spans="1:19" ht="12.75" customHeight="1"/>
    <row r="30" spans="1:19">
      <c r="A30" s="1" t="s">
        <v>208</v>
      </c>
      <c r="L30" s="5">
        <f>IF(ISBLANK(E27),0,250)</f>
        <v>0</v>
      </c>
      <c r="P30" s="49"/>
    </row>
    <row r="31" spans="1:19">
      <c r="A31" s="5" t="s">
        <v>30</v>
      </c>
      <c r="E31" s="80"/>
      <c r="F31" s="30"/>
      <c r="G31" s="5" t="s">
        <v>31</v>
      </c>
      <c r="P31" s="9">
        <f>E31*500</f>
        <v>0</v>
      </c>
      <c r="S31" s="33"/>
    </row>
    <row r="32" spans="1:19">
      <c r="A32" s="5" t="s">
        <v>37</v>
      </c>
      <c r="E32" s="80"/>
      <c r="F32" s="30"/>
      <c r="G32" s="5" t="s">
        <v>38</v>
      </c>
      <c r="P32" s="9">
        <f>E32*1500</f>
        <v>0</v>
      </c>
      <c r="S32" s="33"/>
    </row>
    <row r="33" spans="1:19">
      <c r="A33" s="5" t="s">
        <v>39</v>
      </c>
      <c r="E33" s="80"/>
      <c r="F33" s="30"/>
      <c r="G33" s="5" t="s">
        <v>38</v>
      </c>
      <c r="P33" s="9">
        <f>E33*1500</f>
        <v>0</v>
      </c>
      <c r="S33" s="33"/>
    </row>
    <row r="34" spans="1:19">
      <c r="A34" s="5" t="s">
        <v>116</v>
      </c>
      <c r="P34" s="49"/>
    </row>
    <row r="35" spans="1:19">
      <c r="A35" s="5" t="s">
        <v>117</v>
      </c>
      <c r="P35" s="49"/>
    </row>
    <row r="36" spans="1:19">
      <c r="A36" s="5"/>
      <c r="P36" s="115">
        <f>SUM(P31:P33,)</f>
        <v>0</v>
      </c>
    </row>
    <row r="37" spans="1:19">
      <c r="A37" s="5"/>
      <c r="P37" s="44" t="s">
        <v>113</v>
      </c>
    </row>
    <row r="38" spans="1:19">
      <c r="P38" s="49"/>
    </row>
    <row r="39" spans="1:19">
      <c r="A39" s="71" t="s">
        <v>212</v>
      </c>
      <c r="B39" s="16"/>
      <c r="P39" s="49"/>
    </row>
    <row r="40" spans="1:19">
      <c r="A40" s="5" t="s">
        <v>146</v>
      </c>
      <c r="E40" s="55"/>
      <c r="G40" s="72"/>
      <c r="K40" s="5" t="s">
        <v>214</v>
      </c>
      <c r="P40" s="49"/>
      <c r="S40" s="9">
        <f>G40*25</f>
        <v>0</v>
      </c>
    </row>
    <row r="41" spans="1:19">
      <c r="A41" s="5"/>
      <c r="C41" s="73"/>
      <c r="E41" s="16"/>
      <c r="H41" s="74"/>
      <c r="P41" s="49"/>
    </row>
    <row r="42" spans="1:19">
      <c r="A42" s="5" t="s">
        <v>145</v>
      </c>
      <c r="E42" s="55"/>
      <c r="G42" s="72"/>
      <c r="P42" s="49"/>
      <c r="R42">
        <f>IF(S40&gt;S42,S40,S42)</f>
        <v>0</v>
      </c>
      <c r="S42" s="9">
        <f>G42</f>
        <v>0</v>
      </c>
    </row>
    <row r="43" spans="1:19">
      <c r="C43" s="5"/>
      <c r="P43" s="49"/>
    </row>
    <row r="44" spans="1:19">
      <c r="A44" s="5" t="s">
        <v>211</v>
      </c>
      <c r="E44" s="55"/>
      <c r="F44" s="75"/>
      <c r="G44" s="89">
        <f>G114</f>
        <v>0</v>
      </c>
      <c r="P44" s="49"/>
      <c r="S44" s="9">
        <f>G44</f>
        <v>0</v>
      </c>
    </row>
    <row r="45" spans="1:19">
      <c r="A45" s="5"/>
      <c r="E45" s="55"/>
      <c r="F45" s="75"/>
      <c r="G45" s="91"/>
      <c r="P45" s="49"/>
      <c r="S45" s="33"/>
    </row>
    <row r="46" spans="1:19" ht="12.75" customHeight="1">
      <c r="P46" s="49"/>
    </row>
    <row r="47" spans="1:19">
      <c r="A47" s="1" t="s">
        <v>60</v>
      </c>
      <c r="P47" s="49"/>
    </row>
    <row r="48" spans="1:19">
      <c r="A48" s="5" t="s">
        <v>63</v>
      </c>
      <c r="D48" s="9">
        <f>P27</f>
        <v>0</v>
      </c>
      <c r="L48">
        <f>D52/100</f>
        <v>0</v>
      </c>
      <c r="P48" s="49"/>
    </row>
    <row r="49" spans="1:20">
      <c r="A49" s="5" t="s">
        <v>209</v>
      </c>
      <c r="C49" s="12" t="s">
        <v>65</v>
      </c>
      <c r="D49" s="116">
        <f>P36</f>
        <v>0</v>
      </c>
      <c r="L49">
        <f>TRUNC(L48)</f>
        <v>0</v>
      </c>
      <c r="P49" s="49"/>
    </row>
    <row r="50" spans="1:20">
      <c r="A50" s="5" t="s">
        <v>210</v>
      </c>
      <c r="C50" s="12" t="s">
        <v>65</v>
      </c>
      <c r="D50" s="9">
        <f>SUM(R42,S44)</f>
        <v>0</v>
      </c>
      <c r="L50">
        <f>IF(L48-L49&gt;=0.5,L49*100+100,L49*100)</f>
        <v>0</v>
      </c>
      <c r="P50" s="49"/>
    </row>
    <row r="51" spans="1:20" s="3" customFormat="1">
      <c r="A51" s="11"/>
      <c r="C51" s="75"/>
      <c r="D51" s="77">
        <f>D48+D49+D50</f>
        <v>0</v>
      </c>
      <c r="E51" s="78" t="str">
        <f>IF(G14=0,IF(D51&gt;10000,"","REGULATORY MINIMUM $10,000 APPLIED"),IF(G11=G14,IF(D51&gt;50000,"","REGULATORY MINIMUM $50,000 APPLIED"),IF(D51&gt;75000,"","REGULATORY MINIMUM $75,000 APPLIED")))</f>
        <v>REGULATORY MINIMUM $10,000 APPLIED</v>
      </c>
      <c r="P51" s="79"/>
    </row>
    <row r="52" spans="1:20" ht="13.8" thickBot="1">
      <c r="A52" s="5" t="s">
        <v>67</v>
      </c>
      <c r="C52" s="12" t="s">
        <v>55</v>
      </c>
      <c r="D52" s="9">
        <f>D51</f>
        <v>0</v>
      </c>
      <c r="E52" s="42" t="s">
        <v>72</v>
      </c>
      <c r="F52" s="5"/>
      <c r="G52" s="15">
        <f>IF(G14=0,IF(D51&gt;10000,L50,10000),IF(G11=G14,IF(D51&gt;50000,L50,50000),IF(D51&gt;75000,L50,75000)))</f>
        <v>10000</v>
      </c>
      <c r="P52" s="49"/>
    </row>
    <row r="53" spans="1:20">
      <c r="C53" s="5" t="s">
        <v>114</v>
      </c>
      <c r="G53" s="26"/>
      <c r="P53" s="49"/>
      <c r="T53" s="154"/>
    </row>
    <row r="54" spans="1:20" ht="13.8" thickBot="1">
      <c r="C54" s="5" t="s">
        <v>115</v>
      </c>
      <c r="G54" s="7">
        <f>G52-G53</f>
        <v>10000</v>
      </c>
      <c r="P54" s="49"/>
    </row>
    <row r="55" spans="1:20">
      <c r="P55" s="49"/>
    </row>
    <row r="56" spans="1:20">
      <c r="C56" s="13" t="s">
        <v>74</v>
      </c>
      <c r="E56" s="9">
        <f>G52</f>
        <v>10000</v>
      </c>
      <c r="F56" s="33"/>
      <c r="P56" s="49"/>
    </row>
    <row r="57" spans="1:20">
      <c r="C57" s="5" t="s">
        <v>206</v>
      </c>
      <c r="E57" s="114">
        <f>G14</f>
        <v>0</v>
      </c>
      <c r="P57" s="49"/>
    </row>
    <row r="58" spans="1:20">
      <c r="P58" s="49"/>
    </row>
    <row r="59" spans="1:20">
      <c r="C59" s="5" t="s">
        <v>80</v>
      </c>
      <c r="E59" s="17">
        <f>IF(E57&gt;0,E56/E57,0)</f>
        <v>0</v>
      </c>
      <c r="F59" s="17"/>
      <c r="P59" s="49"/>
    </row>
    <row r="60" spans="1:20">
      <c r="P60" s="49"/>
    </row>
    <row r="61" spans="1:20" ht="16.5" customHeight="1">
      <c r="A61" s="16" t="s">
        <v>81</v>
      </c>
      <c r="B61" s="3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39"/>
    </row>
    <row r="62" spans="1:20" ht="15" customHeight="1">
      <c r="A62" s="16" t="s">
        <v>82</v>
      </c>
      <c r="B62" s="27"/>
      <c r="C62" s="156">
        <f>C131</f>
        <v>0</v>
      </c>
      <c r="D62" s="87"/>
      <c r="E62" s="87"/>
      <c r="F62" s="87"/>
      <c r="G62" s="87"/>
      <c r="H62" s="16" t="s">
        <v>83</v>
      </c>
      <c r="M62" s="88"/>
      <c r="N62" s="90"/>
      <c r="O62" s="90"/>
      <c r="P62" s="158">
        <f>P131</f>
        <v>0</v>
      </c>
      <c r="Q62" s="90"/>
      <c r="R62" s="39"/>
    </row>
    <row r="63" spans="1:20" ht="17.25" customHeight="1">
      <c r="A63" s="16" t="s">
        <v>84</v>
      </c>
      <c r="B63" s="27"/>
      <c r="C63" s="155">
        <f>C132</f>
        <v>0</v>
      </c>
      <c r="D63" s="87"/>
      <c r="E63" s="87"/>
      <c r="F63" s="87"/>
      <c r="G63" s="87"/>
      <c r="H63" s="16" t="s">
        <v>83</v>
      </c>
      <c r="M63" s="88"/>
      <c r="N63" s="90"/>
      <c r="O63" s="90"/>
      <c r="P63" s="158">
        <f>P132</f>
        <v>0</v>
      </c>
      <c r="Q63" s="90"/>
      <c r="R63" s="39"/>
    </row>
    <row r="64" spans="1:20" s="3" customFormat="1">
      <c r="A64" s="11"/>
      <c r="C64" s="11"/>
      <c r="P64" s="112"/>
    </row>
    <row r="65" spans="1:35" s="3" customFormat="1">
      <c r="P65" s="113"/>
    </row>
    <row r="66" spans="1:35" s="3" customFormat="1">
      <c r="P66" s="112"/>
    </row>
    <row r="67" spans="1:35" ht="18.75" customHeight="1">
      <c r="A67" s="6"/>
      <c r="B67" s="19"/>
      <c r="C67" s="6"/>
      <c r="F67" s="2"/>
      <c r="G67" s="2"/>
      <c r="H67" s="2"/>
      <c r="I67" s="2"/>
      <c r="J67" s="2"/>
      <c r="P67" s="68">
        <f>E3</f>
        <v>0</v>
      </c>
      <c r="Q67" s="69"/>
      <c r="R67" s="20"/>
      <c r="S67" s="70">
        <f>S6</f>
        <v>0</v>
      </c>
    </row>
    <row r="68" spans="1:35">
      <c r="A68" s="19" t="s">
        <v>213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8" t="s">
        <v>100</v>
      </c>
      <c r="Q68" s="1"/>
      <c r="R68" s="1"/>
      <c r="S68" s="42" t="s">
        <v>97</v>
      </c>
    </row>
    <row r="69" spans="1:35" ht="12.75" customHeight="1">
      <c r="P69" s="49"/>
    </row>
    <row r="70" spans="1:35">
      <c r="A70" s="1"/>
      <c r="B70" s="1"/>
      <c r="P70" s="49"/>
    </row>
    <row r="71" spans="1:35">
      <c r="A71" s="119" t="s">
        <v>147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</row>
    <row r="72" spans="1:35">
      <c r="A72" s="121" t="s">
        <v>119</v>
      </c>
      <c r="B72" s="120" t="s">
        <v>120</v>
      </c>
      <c r="C72" s="120"/>
      <c r="D72" s="120" t="s">
        <v>133</v>
      </c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</row>
    <row r="73" spans="1:35">
      <c r="A73" s="122"/>
      <c r="B73" s="123"/>
      <c r="C73" s="120"/>
      <c r="D73" s="133">
        <f>ROUNDUP(B73,0)</f>
        <v>0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</row>
    <row r="74" spans="1:35">
      <c r="A74" s="122"/>
      <c r="B74" s="123"/>
      <c r="C74" s="120"/>
      <c r="D74" s="134">
        <f>ROUNDUP(B74,0)</f>
        <v>0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</row>
    <row r="75" spans="1:35">
      <c r="A75" s="122"/>
      <c r="B75" s="123"/>
      <c r="C75" s="120"/>
      <c r="D75" s="124">
        <f>ROUNDUP(B75,0)</f>
        <v>0</v>
      </c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</row>
    <row r="76" spans="1:35">
      <c r="A76" s="122"/>
      <c r="B76" s="123"/>
      <c r="C76" s="120"/>
      <c r="D76" s="124">
        <f t="shared" ref="D76:D98" si="1">ROUNDUP(B76,0)</f>
        <v>0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</row>
    <row r="77" spans="1:35">
      <c r="A77" s="122"/>
      <c r="B77" s="123"/>
      <c r="C77" s="120"/>
      <c r="D77" s="124">
        <f t="shared" si="1"/>
        <v>0</v>
      </c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</row>
    <row r="78" spans="1:35">
      <c r="A78" s="122"/>
      <c r="B78" s="123"/>
      <c r="C78" s="120"/>
      <c r="D78" s="124">
        <f t="shared" si="1"/>
        <v>0</v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</row>
    <row r="79" spans="1:35">
      <c r="A79" s="122"/>
      <c r="B79" s="123"/>
      <c r="C79" s="120"/>
      <c r="D79" s="124">
        <f t="shared" si="1"/>
        <v>0</v>
      </c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</row>
    <row r="80" spans="1:35">
      <c r="A80" s="122"/>
      <c r="B80" s="123"/>
      <c r="C80" s="120"/>
      <c r="D80" s="124">
        <f t="shared" si="1"/>
        <v>0</v>
      </c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</row>
    <row r="81" spans="1:35">
      <c r="A81" s="122"/>
      <c r="B81" s="123"/>
      <c r="C81" s="120"/>
      <c r="D81" s="124">
        <f t="shared" si="1"/>
        <v>0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</row>
    <row r="82" spans="1:35">
      <c r="A82" s="122"/>
      <c r="B82" s="123"/>
      <c r="C82" s="120"/>
      <c r="D82" s="124">
        <f t="shared" si="1"/>
        <v>0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</row>
    <row r="83" spans="1:35">
      <c r="A83" s="122"/>
      <c r="B83" s="123"/>
      <c r="C83" s="120"/>
      <c r="D83" s="124">
        <f t="shared" si="1"/>
        <v>0</v>
      </c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</row>
    <row r="84" spans="1:35">
      <c r="A84" s="122"/>
      <c r="B84" s="123"/>
      <c r="C84" s="120"/>
      <c r="D84" s="124">
        <f t="shared" si="1"/>
        <v>0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</row>
    <row r="85" spans="1:35">
      <c r="A85" s="122"/>
      <c r="B85" s="123"/>
      <c r="C85" s="120"/>
      <c r="D85" s="124">
        <f t="shared" si="1"/>
        <v>0</v>
      </c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</row>
    <row r="86" spans="1:35">
      <c r="A86" s="122"/>
      <c r="B86" s="123"/>
      <c r="C86" s="120"/>
      <c r="D86" s="124">
        <f t="shared" si="1"/>
        <v>0</v>
      </c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</row>
    <row r="87" spans="1:35">
      <c r="A87" s="122"/>
      <c r="B87" s="123"/>
      <c r="C87" s="120"/>
      <c r="D87" s="124">
        <f t="shared" si="1"/>
        <v>0</v>
      </c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</row>
    <row r="88" spans="1:35">
      <c r="A88" s="122"/>
      <c r="B88" s="123"/>
      <c r="C88" s="120"/>
      <c r="D88" s="124">
        <f t="shared" si="1"/>
        <v>0</v>
      </c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</row>
    <row r="89" spans="1:35">
      <c r="A89" s="122"/>
      <c r="B89" s="123"/>
      <c r="C89" s="120"/>
      <c r="D89" s="124">
        <f t="shared" si="1"/>
        <v>0</v>
      </c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</row>
    <row r="90" spans="1:35">
      <c r="A90" s="122"/>
      <c r="B90" s="123"/>
      <c r="C90" s="120"/>
      <c r="D90" s="124">
        <f t="shared" si="1"/>
        <v>0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</row>
    <row r="91" spans="1:35">
      <c r="A91" s="122"/>
      <c r="B91" s="123"/>
      <c r="C91" s="120"/>
      <c r="D91" s="124">
        <f t="shared" si="1"/>
        <v>0</v>
      </c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</row>
    <row r="92" spans="1:35">
      <c r="A92" s="122"/>
      <c r="B92" s="123"/>
      <c r="C92" s="120"/>
      <c r="D92" s="124">
        <f t="shared" si="1"/>
        <v>0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</row>
    <row r="93" spans="1:35">
      <c r="A93" s="122"/>
      <c r="B93" s="123"/>
      <c r="C93" s="120"/>
      <c r="D93" s="124">
        <f t="shared" si="1"/>
        <v>0</v>
      </c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</row>
    <row r="94" spans="1:35">
      <c r="A94" s="122"/>
      <c r="B94" s="123"/>
      <c r="C94" s="120"/>
      <c r="D94" s="124">
        <f t="shared" si="1"/>
        <v>0</v>
      </c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</row>
    <row r="95" spans="1:35">
      <c r="A95" s="122"/>
      <c r="B95" s="123"/>
      <c r="C95" s="120"/>
      <c r="D95" s="124">
        <f t="shared" si="1"/>
        <v>0</v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</row>
    <row r="96" spans="1:35">
      <c r="A96" s="122"/>
      <c r="B96" s="123"/>
      <c r="C96" s="120"/>
      <c r="D96" s="124">
        <f t="shared" si="1"/>
        <v>0</v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</row>
    <row r="97" spans="1:35">
      <c r="A97" s="122"/>
      <c r="B97" s="123"/>
      <c r="C97" s="120"/>
      <c r="D97" s="124">
        <f t="shared" si="1"/>
        <v>0</v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</row>
    <row r="98" spans="1:35">
      <c r="A98" s="122"/>
      <c r="B98" s="123"/>
      <c r="C98" s="120"/>
      <c r="D98" s="124">
        <f t="shared" si="1"/>
        <v>0</v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</row>
    <row r="99" spans="1:35">
      <c r="A99" s="125"/>
      <c r="B99" s="126">
        <f>SUM(B73:B98)</f>
        <v>0</v>
      </c>
      <c r="C99" s="127"/>
      <c r="D99" s="127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</row>
    <row r="100" spans="1:35">
      <c r="A100" s="120" t="s">
        <v>138</v>
      </c>
      <c r="B100" s="120"/>
      <c r="C100" s="120"/>
      <c r="D100" s="133">
        <f>SUM(D73:D98)</f>
        <v>0</v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</row>
    <row r="101" spans="1:35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</row>
    <row r="102" spans="1:3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</row>
    <row r="103" spans="1:35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</row>
    <row r="104" spans="1:35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</row>
    <row r="105" spans="1:35">
      <c r="A105" s="119" t="s">
        <v>207</v>
      </c>
      <c r="B105" s="119"/>
      <c r="C105" s="119"/>
      <c r="D105" s="119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</row>
    <row r="106" spans="1:35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</row>
    <row r="107" spans="1:35">
      <c r="A107" s="128" t="s">
        <v>136</v>
      </c>
      <c r="B107" s="120"/>
      <c r="C107" s="120" t="s">
        <v>139</v>
      </c>
      <c r="D107" s="120"/>
      <c r="E107" s="120"/>
      <c r="F107" s="120"/>
      <c r="G107" s="120" t="s">
        <v>134</v>
      </c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</row>
    <row r="108" spans="1:35">
      <c r="A108" s="128" t="s">
        <v>135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</row>
    <row r="109" spans="1:35">
      <c r="A109" s="129"/>
      <c r="B109" s="120" t="s">
        <v>142</v>
      </c>
      <c r="C109" s="120"/>
      <c r="D109" s="120"/>
      <c r="E109" s="120"/>
      <c r="F109" s="120"/>
      <c r="G109" s="130">
        <f>A109*10000</f>
        <v>0</v>
      </c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</row>
    <row r="110" spans="1:35" ht="12.75" customHeight="1">
      <c r="A110" s="129"/>
      <c r="B110" s="120" t="s">
        <v>141</v>
      </c>
      <c r="C110" s="120"/>
      <c r="D110" s="120"/>
      <c r="E110" s="120"/>
      <c r="F110" s="120"/>
      <c r="G110" s="130">
        <f>A110*25000</f>
        <v>0</v>
      </c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</row>
    <row r="111" spans="1:35">
      <c r="A111" s="129"/>
      <c r="B111" s="120" t="s">
        <v>143</v>
      </c>
      <c r="C111" s="120"/>
      <c r="D111" s="120"/>
      <c r="E111" s="120"/>
      <c r="F111" s="120"/>
      <c r="G111" s="130">
        <f>A111*50000</f>
        <v>0</v>
      </c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</row>
    <row r="112" spans="1:35">
      <c r="A112" s="129"/>
      <c r="B112" s="120" t="s">
        <v>144</v>
      </c>
      <c r="C112" s="120"/>
      <c r="D112" s="120"/>
      <c r="E112" s="120"/>
      <c r="F112" s="120"/>
      <c r="G112" s="130">
        <f>A112*100000</f>
        <v>0</v>
      </c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</row>
    <row r="113" spans="1:35">
      <c r="A113" s="131"/>
      <c r="B113" s="127"/>
      <c r="C113" s="127"/>
      <c r="D113" s="127"/>
      <c r="E113" s="127"/>
      <c r="F113" s="127"/>
      <c r="G113" s="132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</row>
    <row r="114" spans="1:35">
      <c r="A114" s="120"/>
      <c r="B114" s="120"/>
      <c r="C114" s="120" t="s">
        <v>137</v>
      </c>
      <c r="D114" s="120"/>
      <c r="E114" s="120"/>
      <c r="F114" s="120"/>
      <c r="G114" s="130">
        <f>SUM(G109:G112)</f>
        <v>0</v>
      </c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</row>
    <row r="115" spans="1:35">
      <c r="A115" s="5"/>
      <c r="C115" s="12"/>
      <c r="D115" s="33"/>
      <c r="E115" s="76"/>
      <c r="P115" s="49"/>
    </row>
    <row r="116" spans="1:35" s="3" customFormat="1">
      <c r="A116" s="11"/>
      <c r="C116" s="75"/>
      <c r="D116" s="77"/>
      <c r="E116" s="78"/>
      <c r="P116" s="79"/>
    </row>
    <row r="117" spans="1:35">
      <c r="A117" s="5"/>
      <c r="C117" s="12"/>
      <c r="D117" s="33"/>
      <c r="E117" s="42"/>
      <c r="F117" s="5"/>
      <c r="G117" s="117"/>
      <c r="P117" s="49"/>
    </row>
    <row r="118" spans="1:35">
      <c r="C118" s="5"/>
      <c r="G118" s="118"/>
      <c r="P118" s="49"/>
    </row>
    <row r="119" spans="1:35">
      <c r="C119" s="5"/>
      <c r="G119" s="118"/>
      <c r="P119" s="49"/>
    </row>
    <row r="120" spans="1:35">
      <c r="C120" s="5"/>
      <c r="G120" s="74"/>
      <c r="P120" s="49"/>
    </row>
    <row r="121" spans="1:35" s="136" customFormat="1">
      <c r="A121" s="135" t="s">
        <v>67</v>
      </c>
      <c r="C121" s="137" t="s">
        <v>55</v>
      </c>
      <c r="D121" s="141">
        <f>D52</f>
        <v>0</v>
      </c>
      <c r="E121" s="138" t="s">
        <v>72</v>
      </c>
      <c r="F121" s="135"/>
      <c r="G121" s="141">
        <f>G52</f>
        <v>10000</v>
      </c>
      <c r="P121" s="139"/>
    </row>
    <row r="122" spans="1:35" s="136" customFormat="1">
      <c r="C122" s="135" t="s">
        <v>114</v>
      </c>
      <c r="G122" s="157">
        <f>G53</f>
        <v>0</v>
      </c>
      <c r="P122" s="139"/>
    </row>
    <row r="123" spans="1:35" s="136" customFormat="1">
      <c r="C123" s="135" t="s">
        <v>115</v>
      </c>
      <c r="G123" s="149">
        <f>G54</f>
        <v>10000</v>
      </c>
      <c r="P123" s="139"/>
    </row>
    <row r="124" spans="1:35" s="136" customFormat="1">
      <c r="P124" s="139"/>
    </row>
    <row r="125" spans="1:35" s="136" customFormat="1">
      <c r="C125" s="140" t="s">
        <v>74</v>
      </c>
      <c r="E125" s="141">
        <f>E56</f>
        <v>10000</v>
      </c>
      <c r="F125" s="141"/>
      <c r="P125" s="139"/>
    </row>
    <row r="126" spans="1:35" s="136" customFormat="1">
      <c r="C126" s="135" t="s">
        <v>206</v>
      </c>
      <c r="E126" s="142">
        <f>E57</f>
        <v>0</v>
      </c>
      <c r="P126" s="139"/>
    </row>
    <row r="127" spans="1:35" s="136" customFormat="1">
      <c r="P127" s="139"/>
    </row>
    <row r="128" spans="1:35" s="136" customFormat="1">
      <c r="C128" s="135" t="s">
        <v>80</v>
      </c>
      <c r="E128" s="143">
        <f>E59</f>
        <v>0</v>
      </c>
      <c r="F128" s="143"/>
      <c r="P128" s="139"/>
    </row>
    <row r="129" spans="1:18" s="152" customFormat="1">
      <c r="P129" s="153"/>
    </row>
    <row r="130" spans="1:18" s="136" customFormat="1" ht="16.5" customHeight="1">
      <c r="A130" s="136" t="s">
        <v>81</v>
      </c>
      <c r="B130" s="144"/>
      <c r="C130" s="148"/>
      <c r="D130" s="148"/>
      <c r="E130" s="148"/>
      <c r="F130" s="145"/>
      <c r="G130" s="148"/>
      <c r="H130" s="148"/>
      <c r="I130" s="148"/>
      <c r="J130" s="148"/>
      <c r="K130" s="148"/>
      <c r="L130" s="145"/>
      <c r="M130" s="148"/>
      <c r="N130" s="148"/>
      <c r="O130" s="148"/>
      <c r="P130" s="148"/>
      <c r="Q130" s="148"/>
      <c r="R130" s="146"/>
    </row>
    <row r="131" spans="1:18" s="136" customFormat="1" ht="15" customHeight="1">
      <c r="A131" s="136" t="s">
        <v>82</v>
      </c>
      <c r="B131" s="146"/>
      <c r="C131" s="148"/>
      <c r="D131" s="148"/>
      <c r="E131" s="148"/>
      <c r="F131" s="147"/>
      <c r="G131" s="148"/>
      <c r="H131" s="136" t="s">
        <v>83</v>
      </c>
      <c r="M131" s="150"/>
      <c r="N131" s="151"/>
      <c r="O131" s="151"/>
      <c r="P131" s="151"/>
      <c r="Q131" s="151"/>
      <c r="R131" s="146"/>
    </row>
    <row r="132" spans="1:18" s="136" customFormat="1" ht="17.25" customHeight="1">
      <c r="A132" s="136" t="s">
        <v>84</v>
      </c>
      <c r="B132" s="146"/>
      <c r="C132" s="148"/>
      <c r="D132" s="148"/>
      <c r="E132" s="148"/>
      <c r="F132" s="147"/>
      <c r="G132" s="148"/>
      <c r="H132" s="136" t="s">
        <v>83</v>
      </c>
      <c r="M132" s="150"/>
      <c r="N132" s="151"/>
      <c r="O132" s="151"/>
      <c r="P132" s="151"/>
      <c r="Q132" s="151"/>
      <c r="R132" s="146"/>
    </row>
  </sheetData>
  <sheetProtection sheet="1" objects="1" scenarios="1" selectLockedCells="1"/>
  <mergeCells count="2">
    <mergeCell ref="K8:S16"/>
    <mergeCell ref="C61:Q61"/>
  </mergeCells>
  <phoneticPr fontId="35" type="noConversion"/>
  <printOptions horizontalCentered="1" verticalCentered="1"/>
  <pageMargins left="0.25" right="0.26" top="0.28000000000000003" bottom="0.25" header="0.25" footer="0.36"/>
  <pageSetup scale="80" fitToHeight="0" orientation="portrait" r:id="rId1"/>
  <headerFooter alignWithMargins="0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I132"/>
  <sheetViews>
    <sheetView zoomScale="75" zoomScaleNormal="75" workbookViewId="0">
      <selection activeCell="G122" sqref="G122"/>
    </sheetView>
  </sheetViews>
  <sheetFormatPr defaultRowHeight="13.2"/>
  <cols>
    <col min="4" max="4" width="11.77734375" customWidth="1"/>
    <col min="5" max="5" width="13.5546875" customWidth="1"/>
    <col min="6" max="6" width="9.21875" hidden="1" customWidth="1"/>
    <col min="7" max="7" width="14.21875" customWidth="1"/>
    <col min="8" max="10" width="1.77734375" customWidth="1"/>
    <col min="12" max="12" width="1.77734375" hidden="1" customWidth="1"/>
    <col min="13" max="15" width="1.77734375" customWidth="1"/>
    <col min="16" max="16" width="14.21875" style="44" customWidth="1"/>
    <col min="17" max="17" width="11.21875" customWidth="1"/>
    <col min="18" max="18" width="11.21875" hidden="1" customWidth="1"/>
    <col min="19" max="19" width="11.21875" customWidth="1"/>
    <col min="21" max="22" width="2.77734375" customWidth="1"/>
    <col min="28" max="28" width="13.5546875" customWidth="1"/>
    <col min="29" max="29" width="9.21875" hidden="1" customWidth="1"/>
    <col min="30" max="30" width="11.44140625" customWidth="1"/>
    <col min="31" max="31" width="1.77734375" customWidth="1"/>
    <col min="32" max="32" width="2" customWidth="1"/>
    <col min="33" max="33" width="1.77734375" customWidth="1"/>
    <col min="35" max="35" width="1.77734375" hidden="1" customWidth="1"/>
    <col min="36" max="38" width="1.77734375" customWidth="1"/>
    <col min="39" max="39" width="14.21875" customWidth="1"/>
  </cols>
  <sheetData>
    <row r="1" spans="1:19" ht="18.75" customHeight="1">
      <c r="A1" s="19" t="s">
        <v>148</v>
      </c>
      <c r="B1" s="19"/>
      <c r="E1" s="6" t="s">
        <v>0</v>
      </c>
      <c r="F1" s="2"/>
      <c r="G1" s="2"/>
      <c r="H1" s="2"/>
      <c r="I1" s="2"/>
      <c r="J1" s="2"/>
      <c r="Q1" s="20"/>
      <c r="R1" s="20"/>
    </row>
    <row r="2" spans="1:19" ht="12.75" customHeight="1">
      <c r="A2" s="19"/>
      <c r="B2" s="19"/>
      <c r="E2" s="6"/>
      <c r="F2" s="2"/>
      <c r="G2" s="2"/>
      <c r="H2" s="2"/>
      <c r="I2" s="2"/>
      <c r="J2" s="2"/>
      <c r="Q2" s="20"/>
      <c r="R2" s="20"/>
      <c r="S2" s="20"/>
    </row>
    <row r="3" spans="1:19">
      <c r="A3" s="43"/>
      <c r="B3" s="41"/>
      <c r="C3" s="41"/>
      <c r="D3" s="3"/>
      <c r="E3" s="43"/>
      <c r="F3" s="41"/>
      <c r="G3" s="41"/>
      <c r="H3" s="27"/>
      <c r="I3" s="27"/>
      <c r="J3" s="27"/>
      <c r="K3" s="3"/>
      <c r="L3" s="3"/>
      <c r="M3" s="3"/>
      <c r="N3" s="3"/>
      <c r="O3" s="3"/>
      <c r="P3" s="45"/>
      <c r="Q3" s="41"/>
      <c r="R3" s="41"/>
      <c r="S3" s="41"/>
    </row>
    <row r="4" spans="1:19">
      <c r="A4" s="3" t="s">
        <v>2</v>
      </c>
      <c r="B4" s="3"/>
      <c r="C4" s="3"/>
      <c r="E4" t="s">
        <v>3</v>
      </c>
      <c r="H4" s="63"/>
      <c r="I4" s="63"/>
      <c r="J4" s="63"/>
      <c r="P4" s="46" t="s">
        <v>95</v>
      </c>
      <c r="Q4" s="34"/>
      <c r="R4" s="34"/>
    </row>
    <row r="5" spans="1:19">
      <c r="H5" s="63"/>
      <c r="I5" s="63"/>
      <c r="J5" s="63"/>
    </row>
    <row r="6" spans="1:19">
      <c r="A6" t="s">
        <v>11</v>
      </c>
      <c r="D6" s="21"/>
      <c r="E6" t="s">
        <v>149</v>
      </c>
      <c r="H6" s="63"/>
      <c r="I6" s="63"/>
      <c r="J6" s="63"/>
      <c r="K6" s="21"/>
      <c r="L6" s="32"/>
      <c r="M6" s="54" t="s">
        <v>96</v>
      </c>
      <c r="N6" s="55"/>
      <c r="O6" s="55"/>
      <c r="Q6" s="28" t="s">
        <v>97</v>
      </c>
      <c r="R6" s="28"/>
      <c r="S6" s="21"/>
    </row>
    <row r="7" spans="1:19">
      <c r="H7" s="63"/>
      <c r="I7" s="63"/>
      <c r="J7" s="63"/>
    </row>
    <row r="8" spans="1:19">
      <c r="A8" s="1" t="s">
        <v>12</v>
      </c>
      <c r="H8" s="63"/>
      <c r="I8" s="63"/>
      <c r="J8" s="63"/>
    </row>
    <row r="9" spans="1:19">
      <c r="A9" s="5" t="s">
        <v>150</v>
      </c>
      <c r="G9" s="92"/>
      <c r="H9" s="56"/>
      <c r="I9" s="56"/>
      <c r="J9" s="56"/>
      <c r="K9" s="3"/>
      <c r="L9" s="3"/>
      <c r="M9" s="3"/>
      <c r="N9" s="3"/>
      <c r="O9" s="3"/>
    </row>
    <row r="10" spans="1:19">
      <c r="A10" s="5" t="s">
        <v>151</v>
      </c>
      <c r="G10" s="92"/>
      <c r="H10" s="56"/>
      <c r="I10" s="56"/>
      <c r="J10" s="56"/>
      <c r="K10" s="3"/>
      <c r="L10" s="3"/>
      <c r="M10" s="3"/>
      <c r="N10" s="3"/>
      <c r="O10" s="3"/>
    </row>
    <row r="11" spans="1:19">
      <c r="A11" s="5" t="s">
        <v>152</v>
      </c>
      <c r="G11" s="92"/>
      <c r="H11" s="56"/>
      <c r="I11" s="56"/>
      <c r="J11" s="56"/>
      <c r="K11" s="3"/>
      <c r="L11" s="3"/>
      <c r="M11" s="3"/>
      <c r="N11" s="3"/>
      <c r="O11" s="3"/>
    </row>
    <row r="12" spans="1:19">
      <c r="A12" s="5" t="s">
        <v>153</v>
      </c>
      <c r="G12" s="92"/>
      <c r="H12" s="56"/>
      <c r="I12" s="56"/>
      <c r="J12" s="56"/>
    </row>
    <row r="13" spans="1:19">
      <c r="A13" s="5" t="s">
        <v>154</v>
      </c>
      <c r="G13" s="92"/>
      <c r="H13" s="56"/>
      <c r="I13" s="56"/>
      <c r="J13" s="56"/>
    </row>
    <row r="14" spans="1:19">
      <c r="A14" s="5" t="s">
        <v>155</v>
      </c>
      <c r="G14" s="93">
        <f>SUM(G9:G13)</f>
        <v>0</v>
      </c>
      <c r="H14" s="56"/>
      <c r="I14" s="56"/>
      <c r="J14" s="56"/>
    </row>
    <row r="15" spans="1:19">
      <c r="A15" s="5" t="s">
        <v>156</v>
      </c>
      <c r="G15" s="94"/>
      <c r="H15" s="27"/>
      <c r="I15" s="27"/>
      <c r="J15" s="27"/>
    </row>
    <row r="16" spans="1:19">
      <c r="A16" s="5" t="s">
        <v>157</v>
      </c>
      <c r="G16" s="95">
        <f>SUM(G14:G15)</f>
        <v>0</v>
      </c>
      <c r="H16" s="109"/>
      <c r="I16" s="109"/>
      <c r="J16" s="109"/>
    </row>
    <row r="17" spans="1:18" ht="12.75" customHeight="1">
      <c r="H17" s="110"/>
      <c r="I17" s="110"/>
      <c r="J17" s="110"/>
    </row>
    <row r="18" spans="1:18">
      <c r="A18" s="1" t="s">
        <v>19</v>
      </c>
      <c r="H18" s="110"/>
      <c r="I18" s="110"/>
      <c r="J18" s="110"/>
    </row>
    <row r="19" spans="1:18">
      <c r="A19" s="5" t="s">
        <v>158</v>
      </c>
      <c r="G19" s="4">
        <f>G9</f>
        <v>0</v>
      </c>
      <c r="H19" s="27"/>
      <c r="I19" s="27"/>
      <c r="J19" s="27"/>
      <c r="K19" s="5" t="s">
        <v>159</v>
      </c>
      <c r="L19" s="5"/>
      <c r="M19" s="5"/>
      <c r="N19" s="5"/>
      <c r="O19" s="5"/>
      <c r="P19" s="50">
        <f>G19*1000</f>
        <v>0</v>
      </c>
    </row>
    <row r="20" spans="1:18">
      <c r="A20" s="5" t="s">
        <v>160</v>
      </c>
      <c r="G20" s="94"/>
      <c r="H20" s="27"/>
      <c r="I20" s="27"/>
      <c r="J20" s="27"/>
      <c r="K20" s="5" t="s">
        <v>161</v>
      </c>
      <c r="L20" s="5"/>
      <c r="M20" s="5"/>
      <c r="N20" s="5"/>
      <c r="O20" s="5"/>
      <c r="P20" s="50">
        <f>G20*1500</f>
        <v>0</v>
      </c>
    </row>
    <row r="21" spans="1:18">
      <c r="A21" s="5" t="s">
        <v>162</v>
      </c>
      <c r="G21" s="94"/>
      <c r="H21" s="27"/>
      <c r="I21" s="27"/>
      <c r="J21" s="27"/>
      <c r="K21" s="5" t="s">
        <v>163</v>
      </c>
      <c r="L21" s="5"/>
      <c r="M21" s="5"/>
      <c r="N21" s="5"/>
      <c r="O21" s="5"/>
      <c r="P21" s="50">
        <f>G21*5000</f>
        <v>0</v>
      </c>
    </row>
    <row r="22" spans="1:18">
      <c r="A22" s="5" t="s">
        <v>164</v>
      </c>
      <c r="G22" s="4">
        <f>G11</f>
        <v>0</v>
      </c>
      <c r="H22" s="3"/>
      <c r="I22" s="3"/>
      <c r="J22" s="3"/>
      <c r="K22" s="5" t="s">
        <v>165</v>
      </c>
      <c r="L22" s="5"/>
      <c r="M22" s="5"/>
      <c r="N22" s="5"/>
      <c r="O22" s="5"/>
      <c r="P22" s="50">
        <f>G22*1500</f>
        <v>0</v>
      </c>
    </row>
    <row r="23" spans="1:18">
      <c r="A23" s="5" t="s">
        <v>166</v>
      </c>
      <c r="E23" s="96">
        <f>G13</f>
        <v>0</v>
      </c>
      <c r="F23" s="5" t="s">
        <v>25</v>
      </c>
      <c r="G23" s="97">
        <f>E23*2500</f>
        <v>0</v>
      </c>
      <c r="H23" s="31"/>
      <c r="I23" s="31"/>
      <c r="J23" s="31"/>
      <c r="K23" s="5" t="s">
        <v>167</v>
      </c>
      <c r="L23" s="5"/>
      <c r="M23" s="5"/>
      <c r="N23" s="5"/>
      <c r="O23" s="5"/>
      <c r="Q23" s="98">
        <f>IF(G12&gt;0,20000,0)</f>
        <v>0</v>
      </c>
      <c r="R23" s="37"/>
    </row>
    <row r="24" spans="1:18">
      <c r="K24" s="5" t="s">
        <v>27</v>
      </c>
      <c r="L24" s="5"/>
      <c r="M24" s="5"/>
      <c r="N24" s="5"/>
      <c r="O24" s="5"/>
      <c r="P24" s="99">
        <f>IF(G12&lt;2,0,IF(G12&lt;=10,(G12-2),IF(G12&gt;10,8)))</f>
        <v>0</v>
      </c>
      <c r="Q24" s="97">
        <f>IF(G12&lt;2,0,IF(G12&lt;=10,(G12-2)*4000,IF(G12&gt;10,32000)))</f>
        <v>0</v>
      </c>
      <c r="R24" s="31"/>
    </row>
    <row r="25" spans="1:18">
      <c r="K25" s="5" t="s">
        <v>28</v>
      </c>
      <c r="L25" s="5"/>
      <c r="M25" s="5"/>
      <c r="N25" s="5"/>
      <c r="O25" s="5"/>
      <c r="P25" s="100">
        <f>IF(F12&gt;10,(F12-10),0)</f>
        <v>0</v>
      </c>
      <c r="Q25" s="101">
        <f>IF(G12&gt;10,(G12-10)*2500,0)</f>
        <v>0</v>
      </c>
      <c r="R25" s="38"/>
    </row>
    <row r="27" spans="1:18" ht="12.75" customHeight="1" thickBot="1">
      <c r="G27" t="s">
        <v>32</v>
      </c>
      <c r="P27" s="51">
        <f>SUM(Q25+Q24+Q23+G23+P22+P21+P20+P19)</f>
        <v>0</v>
      </c>
    </row>
    <row r="28" spans="1:18">
      <c r="G28" t="s">
        <v>168</v>
      </c>
    </row>
    <row r="29" spans="1:18">
      <c r="A29" s="1" t="s">
        <v>36</v>
      </c>
    </row>
    <row r="30" spans="1:18">
      <c r="A30" s="5" t="s">
        <v>169</v>
      </c>
    </row>
    <row r="31" spans="1:18" ht="12.75" customHeight="1">
      <c r="A31" s="5" t="s">
        <v>40</v>
      </c>
    </row>
    <row r="32" spans="1:18" ht="12.75" customHeight="1">
      <c r="B32" s="21"/>
      <c r="C32" s="5" t="s">
        <v>41</v>
      </c>
      <c r="F32" s="8">
        <f>IF(ISBLANK(B32),0,1000)</f>
        <v>0</v>
      </c>
      <c r="G32" s="21"/>
      <c r="H32" s="55"/>
      <c r="I32" s="55"/>
      <c r="J32" s="55"/>
      <c r="K32" s="5" t="s">
        <v>42</v>
      </c>
      <c r="L32" s="5"/>
      <c r="M32" s="5"/>
      <c r="N32" s="5"/>
      <c r="O32" s="5"/>
      <c r="R32">
        <f>IF(ISBLANK(G32),0,300)</f>
        <v>0</v>
      </c>
    </row>
    <row r="33" spans="1:18" ht="12.75" customHeight="1">
      <c r="B33" s="21"/>
      <c r="C33" s="5" t="s">
        <v>43</v>
      </c>
      <c r="F33" s="8">
        <f>IF(ISBLANK(B33),0,600)</f>
        <v>0</v>
      </c>
      <c r="G33" s="21"/>
      <c r="H33" s="55"/>
      <c r="I33" s="55"/>
      <c r="J33" s="55"/>
      <c r="K33" s="5" t="s">
        <v>44</v>
      </c>
      <c r="L33" s="5"/>
      <c r="M33" s="5"/>
      <c r="N33" s="5"/>
      <c r="O33" s="5"/>
      <c r="R33">
        <f>IF(ISBLANK(G33),0,0)</f>
        <v>0</v>
      </c>
    </row>
    <row r="34" spans="1:18" ht="12.75" customHeight="1">
      <c r="G34" s="63"/>
      <c r="H34" s="14"/>
      <c r="I34" s="14"/>
      <c r="J34" s="14"/>
    </row>
    <row r="35" spans="1:18" ht="12.75" customHeight="1">
      <c r="H35" s="14"/>
      <c r="I35" s="14"/>
      <c r="J35" s="14"/>
      <c r="Q35" s="9">
        <f>SUM(R33+R32+F33+F32)</f>
        <v>0</v>
      </c>
      <c r="R35" s="33"/>
    </row>
    <row r="36" spans="1:18" ht="12.75" customHeight="1">
      <c r="H36" s="14"/>
      <c r="I36" s="14"/>
      <c r="J36" s="14"/>
      <c r="Q36" t="s">
        <v>46</v>
      </c>
    </row>
    <row r="37" spans="1:18" ht="12.75" customHeight="1">
      <c r="A37" t="s">
        <v>48</v>
      </c>
      <c r="H37" s="14"/>
      <c r="I37" s="14"/>
      <c r="J37" s="14"/>
    </row>
    <row r="38" spans="1:18" ht="12.75" customHeight="1">
      <c r="B38" s="21"/>
      <c r="C38" s="5" t="s">
        <v>49</v>
      </c>
      <c r="F38">
        <f>IF(ISBLANK(B38),0,500)</f>
        <v>0</v>
      </c>
      <c r="H38" s="14"/>
      <c r="I38" s="14"/>
      <c r="J38" s="14"/>
    </row>
    <row r="39" spans="1:18">
      <c r="B39" s="21"/>
      <c r="C39" s="5" t="s">
        <v>50</v>
      </c>
      <c r="F39">
        <f>IF(ISBLANK(B39),0,500)</f>
        <v>0</v>
      </c>
      <c r="H39" s="14"/>
      <c r="I39" s="14"/>
      <c r="J39" s="14"/>
    </row>
    <row r="40" spans="1:18">
      <c r="B40" s="21"/>
      <c r="C40" s="5" t="s">
        <v>51</v>
      </c>
      <c r="F40">
        <f>IF(ISBLANK(B40),0,500)</f>
        <v>0</v>
      </c>
      <c r="H40" s="14"/>
      <c r="I40" s="14"/>
      <c r="J40" s="14"/>
    </row>
    <row r="41" spans="1:18">
      <c r="B41" s="21"/>
      <c r="C41" s="5" t="s">
        <v>52</v>
      </c>
      <c r="F41">
        <f>IF(ISBLANK(B41),0,500)</f>
        <v>0</v>
      </c>
      <c r="H41" s="14"/>
      <c r="I41" s="14"/>
      <c r="J41" s="14"/>
      <c r="Q41" s="9">
        <f>IF(SUM(F38:F41)&gt;0,500,0)</f>
        <v>0</v>
      </c>
      <c r="R41" s="33"/>
    </row>
    <row r="42" spans="1:18" ht="12.75" customHeight="1">
      <c r="B42" s="5" t="s">
        <v>53</v>
      </c>
      <c r="C42" s="5"/>
      <c r="H42" s="14"/>
      <c r="I42" s="14"/>
      <c r="J42" s="14"/>
      <c r="Q42" t="s">
        <v>46</v>
      </c>
    </row>
    <row r="43" spans="1:18" ht="12.75" customHeight="1">
      <c r="A43" s="1" t="s">
        <v>54</v>
      </c>
      <c r="H43" s="14"/>
      <c r="I43" s="14"/>
      <c r="J43" s="14"/>
    </row>
    <row r="44" spans="1:18" ht="12.75" customHeight="1">
      <c r="A44" s="5" t="s">
        <v>170</v>
      </c>
      <c r="H44" s="14"/>
      <c r="I44" s="14"/>
      <c r="J44" s="14"/>
    </row>
    <row r="45" spans="1:18" ht="12.75" customHeight="1">
      <c r="A45" s="5"/>
      <c r="B45" s="21"/>
      <c r="C45" s="5" t="s">
        <v>56</v>
      </c>
      <c r="F45">
        <f>IF(ISBLANK(B45),0,0)</f>
        <v>0</v>
      </c>
      <c r="G45" s="21"/>
      <c r="H45" s="55"/>
      <c r="I45" s="55"/>
      <c r="J45" s="55"/>
      <c r="K45" s="5" t="s">
        <v>57</v>
      </c>
      <c r="L45" s="5"/>
      <c r="M45" s="5"/>
      <c r="N45" s="5"/>
      <c r="O45" s="5"/>
      <c r="R45">
        <f>IF(ISBLANK(G45),0,400)</f>
        <v>0</v>
      </c>
    </row>
    <row r="46" spans="1:18" ht="12.75" customHeight="1">
      <c r="A46" s="5"/>
      <c r="B46" s="21"/>
      <c r="C46" s="5" t="s">
        <v>58</v>
      </c>
      <c r="F46">
        <f>IF(ISBLANK(B46),0,100)</f>
        <v>0</v>
      </c>
      <c r="G46" s="21"/>
      <c r="H46" s="55"/>
      <c r="I46" s="55"/>
      <c r="J46" s="55"/>
      <c r="K46" s="5" t="s">
        <v>59</v>
      </c>
      <c r="L46" s="5"/>
      <c r="M46" s="5"/>
      <c r="N46" s="5"/>
      <c r="O46" s="5"/>
      <c r="R46">
        <f>IF(ISBLANK(G46),0,550)</f>
        <v>0</v>
      </c>
    </row>
    <row r="47" spans="1:18" ht="12.75" customHeight="1">
      <c r="A47" s="5"/>
      <c r="B47" s="21"/>
      <c r="C47" s="5" t="s">
        <v>61</v>
      </c>
      <c r="F47">
        <f>IF(ISBLANK(B47),0,250)</f>
        <v>0</v>
      </c>
      <c r="G47" s="21"/>
      <c r="H47" s="55"/>
      <c r="I47" s="55"/>
      <c r="J47" s="55"/>
      <c r="K47" s="5" t="s">
        <v>62</v>
      </c>
      <c r="L47" s="5"/>
      <c r="M47" s="5"/>
      <c r="N47" s="5"/>
      <c r="O47" s="5"/>
      <c r="R47">
        <f>IF(ISBLANK(G47),0,700)</f>
        <v>0</v>
      </c>
    </row>
    <row r="48" spans="1:18" ht="12.75" customHeight="1">
      <c r="A48" s="5"/>
      <c r="H48" s="14"/>
      <c r="I48" s="14"/>
      <c r="J48" s="14"/>
      <c r="Q48" s="9">
        <f>SUM(F45,F46,F47,R45,R46,R47)</f>
        <v>0</v>
      </c>
      <c r="R48" s="33"/>
    </row>
    <row r="49" spans="1:18" ht="12.75" customHeight="1">
      <c r="A49" s="5"/>
      <c r="H49" s="14"/>
      <c r="I49" s="14"/>
      <c r="J49" s="14"/>
      <c r="Q49" t="s">
        <v>46</v>
      </c>
    </row>
    <row r="50" spans="1:18" ht="12.75" customHeight="1">
      <c r="A50" s="5" t="s">
        <v>171</v>
      </c>
      <c r="H50" s="14"/>
      <c r="I50" s="14"/>
      <c r="J50" s="14"/>
    </row>
    <row r="51" spans="1:18" ht="12.75" customHeight="1">
      <c r="A51" s="5"/>
      <c r="B51" s="21"/>
      <c r="C51" s="5" t="s">
        <v>68</v>
      </c>
      <c r="F51">
        <f>IF(ISBLANK(B51),0,0)</f>
        <v>0</v>
      </c>
      <c r="G51" s="21"/>
      <c r="H51" s="55"/>
      <c r="I51" s="55"/>
      <c r="J51" s="55"/>
      <c r="K51" s="5" t="s">
        <v>69</v>
      </c>
      <c r="L51" s="5"/>
      <c r="M51" s="5"/>
      <c r="N51" s="5"/>
      <c r="O51" s="5"/>
      <c r="R51">
        <f>IF(ISBLANK(G51),0,500)</f>
        <v>0</v>
      </c>
    </row>
    <row r="52" spans="1:18" ht="12.75" customHeight="1">
      <c r="A52" s="5"/>
      <c r="B52" s="21"/>
      <c r="C52" s="5" t="s">
        <v>70</v>
      </c>
      <c r="F52">
        <f>IF(ISBLANK(B52),0,100)</f>
        <v>0</v>
      </c>
      <c r="G52" s="21"/>
      <c r="H52" s="55"/>
      <c r="I52" s="55"/>
      <c r="J52" s="55"/>
      <c r="K52" s="5" t="s">
        <v>71</v>
      </c>
      <c r="L52" s="5"/>
      <c r="M52" s="5"/>
      <c r="N52" s="5"/>
      <c r="O52" s="5"/>
      <c r="R52">
        <f>IF(ISBLANK(G52),0,750)</f>
        <v>0</v>
      </c>
    </row>
    <row r="53" spans="1:18" ht="12.75" customHeight="1">
      <c r="A53" s="5"/>
      <c r="B53" s="21"/>
      <c r="C53" s="5" t="s">
        <v>73</v>
      </c>
      <c r="F53">
        <f>IF(ISBLANK(B53),0,300)</f>
        <v>0</v>
      </c>
      <c r="G53" s="3"/>
      <c r="H53" s="3"/>
      <c r="I53" s="3"/>
      <c r="J53" s="3"/>
      <c r="K53" s="5"/>
      <c r="L53" s="5"/>
      <c r="M53" s="5"/>
      <c r="N53" s="5"/>
      <c r="O53" s="5"/>
    </row>
    <row r="54" spans="1:18" ht="12.75" customHeight="1">
      <c r="Q54" s="9">
        <f>SUM(F51,F52,F53,R51,R52)</f>
        <v>0</v>
      </c>
      <c r="R54" s="33"/>
    </row>
    <row r="55" spans="1:18" ht="12.75" customHeight="1">
      <c r="Q55" t="s">
        <v>46</v>
      </c>
    </row>
    <row r="56" spans="1:18" ht="12.75" customHeight="1">
      <c r="A56" s="5" t="s">
        <v>172</v>
      </c>
    </row>
    <row r="57" spans="1:18" ht="12.75" customHeight="1">
      <c r="A57" s="5" t="s">
        <v>75</v>
      </c>
      <c r="P57" s="47"/>
      <c r="Q57" s="5" t="s">
        <v>76</v>
      </c>
      <c r="R57" s="5">
        <f>IF(ISBLANK(P57),0,150)</f>
        <v>0</v>
      </c>
    </row>
    <row r="58" spans="1:18" ht="12.75" customHeight="1">
      <c r="A58" s="5" t="s">
        <v>77</v>
      </c>
      <c r="P58" s="47"/>
      <c r="Q58" s="5" t="s">
        <v>78</v>
      </c>
      <c r="R58" s="5">
        <f>IF(ISBLANK(P58),0,100)</f>
        <v>0</v>
      </c>
    </row>
    <row r="59" spans="1:18" ht="12.75" customHeight="1">
      <c r="A59" s="5" t="s">
        <v>79</v>
      </c>
      <c r="P59" s="47"/>
      <c r="Q59" s="5" t="s">
        <v>78</v>
      </c>
      <c r="R59" s="5">
        <f>IF(ISBLANK(P59),0,100)</f>
        <v>0</v>
      </c>
    </row>
    <row r="60" spans="1:18" ht="12.75" customHeight="1">
      <c r="A60" t="s">
        <v>173</v>
      </c>
      <c r="P60" s="47"/>
      <c r="Q60" s="5" t="s">
        <v>78</v>
      </c>
      <c r="R60" s="5">
        <f>IF(ISBLANK(P60),0,100)</f>
        <v>0</v>
      </c>
    </row>
    <row r="61" spans="1:18" ht="16.5" customHeight="1"/>
    <row r="62" spans="1:18" ht="15" customHeight="1">
      <c r="Q62" s="9">
        <f>SUM(R57:R60)</f>
        <v>0</v>
      </c>
      <c r="R62" s="33"/>
    </row>
    <row r="63" spans="1:18" ht="17.25" customHeight="1">
      <c r="Q63" t="s">
        <v>174</v>
      </c>
    </row>
    <row r="64" spans="1:18">
      <c r="A64" s="1" t="s">
        <v>175</v>
      </c>
      <c r="Q64" s="5" t="s">
        <v>176</v>
      </c>
      <c r="R64" s="5"/>
    </row>
    <row r="65" spans="1:19">
      <c r="A65" s="5"/>
      <c r="B65" s="4">
        <f>SUM(G11:G13)</f>
        <v>0</v>
      </c>
      <c r="C65" s="5" t="s">
        <v>177</v>
      </c>
      <c r="G65" s="9">
        <f>+SUM(Q62,Q54,Q48,Q41,Q35)</f>
        <v>0</v>
      </c>
      <c r="H65" s="33"/>
      <c r="I65" s="33"/>
      <c r="J65" s="33"/>
      <c r="K65" s="5" t="s">
        <v>178</v>
      </c>
      <c r="L65" s="5"/>
      <c r="M65" s="5"/>
      <c r="N65" s="5"/>
      <c r="O65" s="5"/>
    </row>
    <row r="66" spans="1:19">
      <c r="A66" s="5"/>
      <c r="C66" s="5" t="s">
        <v>179</v>
      </c>
      <c r="P66" s="52">
        <f>G65*B65</f>
        <v>0</v>
      </c>
      <c r="Q66" s="4"/>
      <c r="R66" s="3"/>
    </row>
    <row r="67" spans="1:19">
      <c r="K67" t="s">
        <v>180</v>
      </c>
    </row>
    <row r="69" spans="1:19" ht="18.75" customHeight="1">
      <c r="A69" s="6" t="s">
        <v>94</v>
      </c>
      <c r="B69" s="19"/>
      <c r="C69" s="6" t="s">
        <v>0</v>
      </c>
      <c r="F69" s="2"/>
      <c r="G69" s="2"/>
      <c r="H69" s="2"/>
      <c r="I69" s="2"/>
      <c r="J69" s="2"/>
      <c r="P69" s="102">
        <f>E3</f>
        <v>0</v>
      </c>
      <c r="Q69" s="103"/>
      <c r="R69" s="20"/>
      <c r="S69" s="104">
        <f>S6</f>
        <v>0</v>
      </c>
    </row>
    <row r="70" spans="1:19">
      <c r="A70" s="19" t="s">
        <v>148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8" t="s">
        <v>100</v>
      </c>
      <c r="Q70" s="1"/>
      <c r="R70" s="1"/>
      <c r="S70" s="42" t="s">
        <v>97</v>
      </c>
    </row>
    <row r="71" spans="1:19" ht="12.75" customHeight="1">
      <c r="P71" s="49"/>
    </row>
    <row r="72" spans="1:19">
      <c r="A72" s="1" t="s">
        <v>1</v>
      </c>
      <c r="B72" s="1"/>
      <c r="P72" s="49"/>
    </row>
    <row r="73" spans="1:19">
      <c r="A73" s="5" t="s">
        <v>4</v>
      </c>
      <c r="H73" t="s">
        <v>5</v>
      </c>
      <c r="I73" s="23"/>
      <c r="J73" t="s">
        <v>6</v>
      </c>
      <c r="K73" s="5" t="s">
        <v>7</v>
      </c>
      <c r="M73" t="s">
        <v>5</v>
      </c>
      <c r="N73" s="23"/>
      <c r="O73" t="s">
        <v>6</v>
      </c>
      <c r="P73" s="48" t="s">
        <v>8</v>
      </c>
      <c r="S73" s="9">
        <f>IF(ISBLANK(I73),0,1000)</f>
        <v>0</v>
      </c>
    </row>
    <row r="74" spans="1:19">
      <c r="A74" s="5" t="s">
        <v>9</v>
      </c>
      <c r="P74" s="49"/>
      <c r="S74" t="s">
        <v>10</v>
      </c>
    </row>
    <row r="75" spans="1:19">
      <c r="G75" s="14"/>
      <c r="P75" s="49"/>
    </row>
    <row r="76" spans="1:19">
      <c r="A76" s="5" t="s">
        <v>181</v>
      </c>
      <c r="P76" s="49"/>
    </row>
    <row r="77" spans="1:19">
      <c r="A77" s="5" t="s">
        <v>182</v>
      </c>
      <c r="P77" s="49"/>
    </row>
    <row r="78" spans="1:19">
      <c r="A78" s="5" t="s">
        <v>183</v>
      </c>
      <c r="H78" t="s">
        <v>5</v>
      </c>
      <c r="I78" s="24"/>
      <c r="J78" t="s">
        <v>6</v>
      </c>
      <c r="K78" s="5" t="s">
        <v>7</v>
      </c>
      <c r="M78" t="s">
        <v>5</v>
      </c>
      <c r="N78" s="24"/>
      <c r="O78" t="s">
        <v>6</v>
      </c>
      <c r="P78" s="48" t="s">
        <v>8</v>
      </c>
      <c r="S78" s="5" t="s">
        <v>13</v>
      </c>
    </row>
    <row r="79" spans="1:19">
      <c r="A79" s="5" t="s">
        <v>184</v>
      </c>
      <c r="H79" t="s">
        <v>5</v>
      </c>
      <c r="I79" s="24"/>
      <c r="J79" t="s">
        <v>6</v>
      </c>
      <c r="K79" s="10">
        <v>5000</v>
      </c>
      <c r="P79" s="49"/>
    </row>
    <row r="80" spans="1:19">
      <c r="A80" s="5" t="s">
        <v>185</v>
      </c>
      <c r="H80" t="s">
        <v>5</v>
      </c>
      <c r="I80" s="24"/>
      <c r="J80" t="s">
        <v>6</v>
      </c>
      <c r="K80" s="10">
        <v>1000</v>
      </c>
      <c r="P80" s="49"/>
      <c r="S80" s="9">
        <f>IF(ISBLANK(I78),0,IF(ISBLANK(I79),1000,5000))</f>
        <v>0</v>
      </c>
    </row>
    <row r="81" spans="1:19">
      <c r="A81" s="5"/>
      <c r="P81" s="49"/>
      <c r="S81" t="s">
        <v>10</v>
      </c>
    </row>
    <row r="82" spans="1:19">
      <c r="A82" s="5" t="s">
        <v>14</v>
      </c>
      <c r="P82" s="49"/>
    </row>
    <row r="83" spans="1:19">
      <c r="A83" s="5" t="s">
        <v>15</v>
      </c>
      <c r="P83" s="49"/>
    </row>
    <row r="84" spans="1:19">
      <c r="A84" s="5" t="s">
        <v>16</v>
      </c>
      <c r="E84" s="21"/>
      <c r="F84" s="32"/>
      <c r="G84" s="5" t="s">
        <v>17</v>
      </c>
      <c r="P84" s="49"/>
      <c r="S84" s="9">
        <f>E84*1000</f>
        <v>0</v>
      </c>
    </row>
    <row r="85" spans="1:19">
      <c r="P85" s="49"/>
      <c r="S85" t="s">
        <v>10</v>
      </c>
    </row>
    <row r="86" spans="1:19">
      <c r="A86" s="5" t="s">
        <v>18</v>
      </c>
      <c r="H86" t="s">
        <v>5</v>
      </c>
      <c r="I86" s="24"/>
      <c r="J86" t="s">
        <v>6</v>
      </c>
      <c r="K86" s="5" t="s">
        <v>7</v>
      </c>
      <c r="P86" s="49"/>
    </row>
    <row r="87" spans="1:19">
      <c r="A87" s="5" t="s">
        <v>20</v>
      </c>
      <c r="H87" t="s">
        <v>5</v>
      </c>
      <c r="I87" s="25"/>
      <c r="J87" t="s">
        <v>6</v>
      </c>
      <c r="K87" s="5" t="s">
        <v>8</v>
      </c>
      <c r="P87" s="49"/>
      <c r="S87" s="9">
        <f>IF(ISBLANK(I86),0,500)</f>
        <v>0</v>
      </c>
    </row>
    <row r="88" spans="1:19">
      <c r="P88" s="49"/>
      <c r="S88" t="s">
        <v>10</v>
      </c>
    </row>
    <row r="89" spans="1:19">
      <c r="A89" t="s">
        <v>186</v>
      </c>
      <c r="P89" s="49"/>
    </row>
    <row r="90" spans="1:19">
      <c r="A90" s="11"/>
      <c r="B90" s="21"/>
      <c r="C90" s="5" t="s">
        <v>21</v>
      </c>
      <c r="E90" s="21"/>
      <c r="F90" s="32"/>
      <c r="G90" s="5" t="s">
        <v>22</v>
      </c>
      <c r="L90" s="5">
        <f>IF(ISBLANK(B90),0,500)</f>
        <v>0</v>
      </c>
      <c r="M90" s="5"/>
      <c r="N90" s="5"/>
      <c r="O90" s="5"/>
      <c r="P90" s="48"/>
      <c r="Q90" s="5"/>
      <c r="R90" s="5"/>
      <c r="S90" s="5"/>
    </row>
    <row r="91" spans="1:19">
      <c r="A91" s="11"/>
      <c r="B91" s="21"/>
      <c r="C91" s="5" t="s">
        <v>23</v>
      </c>
      <c r="E91" s="21"/>
      <c r="F91" s="32"/>
      <c r="G91" s="5" t="s">
        <v>24</v>
      </c>
      <c r="L91" s="5">
        <f>IF(ISBLANK(B91),0,0)</f>
        <v>0</v>
      </c>
      <c r="P91" s="49"/>
    </row>
    <row r="92" spans="1:19">
      <c r="B92" s="21"/>
      <c r="C92" s="5" t="s">
        <v>26</v>
      </c>
      <c r="L92" s="5">
        <f>IF(ISBLANK(B92),0,250)</f>
        <v>0</v>
      </c>
      <c r="P92" s="49"/>
      <c r="S92" s="9">
        <f>SUM(L90:L94)</f>
        <v>0</v>
      </c>
    </row>
    <row r="93" spans="1:19">
      <c r="B93" s="18"/>
      <c r="L93" s="5">
        <f>IF(ISBLANK(E90),0,0)</f>
        <v>0</v>
      </c>
      <c r="P93" s="49"/>
      <c r="S93" t="s">
        <v>10</v>
      </c>
    </row>
    <row r="94" spans="1:19">
      <c r="A94" s="1" t="s">
        <v>29</v>
      </c>
      <c r="L94" s="5">
        <f>IF(ISBLANK(E91),0,250)</f>
        <v>0</v>
      </c>
      <c r="P94" s="49"/>
    </row>
    <row r="95" spans="1:19">
      <c r="A95" s="5" t="s">
        <v>30</v>
      </c>
      <c r="E95" s="94"/>
      <c r="F95" s="30"/>
      <c r="G95" s="5" t="s">
        <v>31</v>
      </c>
      <c r="P95" s="49"/>
      <c r="S95" s="9">
        <f>E95*500</f>
        <v>0</v>
      </c>
    </row>
    <row r="96" spans="1:19">
      <c r="A96" s="5" t="s">
        <v>33</v>
      </c>
      <c r="E96" s="94"/>
      <c r="F96" s="30"/>
      <c r="G96" s="5" t="s">
        <v>34</v>
      </c>
      <c r="P96" s="49"/>
      <c r="S96" s="9">
        <f>E96*200</f>
        <v>0</v>
      </c>
    </row>
    <row r="97" spans="1:19">
      <c r="A97" s="5" t="s">
        <v>35</v>
      </c>
      <c r="E97" s="94"/>
      <c r="F97" s="30"/>
      <c r="G97" s="5" t="s">
        <v>31</v>
      </c>
      <c r="P97" s="49"/>
      <c r="S97" s="9">
        <f>E97*500</f>
        <v>0</v>
      </c>
    </row>
    <row r="98" spans="1:19">
      <c r="A98" s="5" t="s">
        <v>37</v>
      </c>
      <c r="E98" s="94"/>
      <c r="F98" s="30"/>
      <c r="G98" s="5" t="s">
        <v>38</v>
      </c>
      <c r="P98" s="49"/>
      <c r="S98" s="9">
        <f>E98*1500</f>
        <v>0</v>
      </c>
    </row>
    <row r="99" spans="1:19">
      <c r="A99" s="5" t="s">
        <v>39</v>
      </c>
      <c r="E99" s="94"/>
      <c r="F99" s="30"/>
      <c r="G99" s="5" t="s">
        <v>38</v>
      </c>
      <c r="P99" s="49"/>
      <c r="S99" s="9">
        <f>E99*1500</f>
        <v>0</v>
      </c>
    </row>
    <row r="100" spans="1:19">
      <c r="A100" s="5" t="s">
        <v>187</v>
      </c>
      <c r="P100" s="49"/>
    </row>
    <row r="101" spans="1:19">
      <c r="A101" s="5" t="s">
        <v>188</v>
      </c>
      <c r="P101" s="49"/>
    </row>
    <row r="102" spans="1:19">
      <c r="P102" s="49"/>
    </row>
    <row r="103" spans="1:19">
      <c r="A103" s="1" t="s">
        <v>189</v>
      </c>
      <c r="P103" s="49"/>
    </row>
    <row r="104" spans="1:19" ht="13.8" thickBot="1">
      <c r="A104" s="5" t="s">
        <v>45</v>
      </c>
      <c r="G104" s="7">
        <f>SUM(S99,S98,S97,S96,S95,S92,S87,S84,S80,S73)</f>
        <v>0</v>
      </c>
      <c r="P104" s="49"/>
    </row>
    <row r="105" spans="1:19">
      <c r="E105" s="5" t="s">
        <v>47</v>
      </c>
      <c r="F105" s="5"/>
      <c r="P105" s="49"/>
    </row>
    <row r="106" spans="1:19">
      <c r="P106" s="49"/>
    </row>
    <row r="107" spans="1:19">
      <c r="A107" s="1" t="s">
        <v>190</v>
      </c>
      <c r="P107" s="49"/>
    </row>
    <row r="108" spans="1:19">
      <c r="A108" s="5" t="s">
        <v>191</v>
      </c>
      <c r="P108" s="49"/>
    </row>
    <row r="109" spans="1:19">
      <c r="A109" s="5"/>
      <c r="B109" s="21"/>
      <c r="C109" s="5" t="s">
        <v>192</v>
      </c>
      <c r="G109" s="21"/>
      <c r="H109" s="5" t="s">
        <v>193</v>
      </c>
      <c r="P109" s="49"/>
    </row>
    <row r="110" spans="1:19">
      <c r="A110" s="5"/>
      <c r="B110" s="21"/>
      <c r="C110" s="5" t="s">
        <v>194</v>
      </c>
      <c r="G110" s="21"/>
      <c r="H110" s="5" t="s">
        <v>195</v>
      </c>
      <c r="P110" s="49"/>
    </row>
    <row r="111" spans="1:19">
      <c r="A111" s="5"/>
      <c r="L111">
        <f>IF(ISBLANK(B109),0,0)</f>
        <v>0</v>
      </c>
      <c r="P111" s="49"/>
    </row>
    <row r="112" spans="1:19">
      <c r="B112" s="4">
        <f>SUM(L111:L114)</f>
        <v>0</v>
      </c>
      <c r="C112" s="105" t="s">
        <v>196</v>
      </c>
      <c r="D112" s="4">
        <f>G14</f>
        <v>0</v>
      </c>
      <c r="E112" s="12" t="s">
        <v>55</v>
      </c>
      <c r="F112" s="12"/>
      <c r="G112" s="106">
        <f>B112*D112</f>
        <v>0</v>
      </c>
      <c r="L112">
        <f>IF(ISBLANK(B110),0,100)</f>
        <v>0</v>
      </c>
      <c r="P112" s="49"/>
    </row>
    <row r="113" spans="1:16">
      <c r="B113" s="5" t="s">
        <v>174</v>
      </c>
      <c r="D113" s="5" t="s">
        <v>197</v>
      </c>
      <c r="G113" s="5" t="s">
        <v>47</v>
      </c>
      <c r="L113">
        <f>IF(ISBLANK(G109),0,200)</f>
        <v>0</v>
      </c>
      <c r="P113" s="49"/>
    </row>
    <row r="114" spans="1:16">
      <c r="L114">
        <f>IF(ISBLANK(G110),0,300)</f>
        <v>0</v>
      </c>
      <c r="P114" s="49"/>
    </row>
    <row r="115" spans="1:16">
      <c r="A115" s="1" t="s">
        <v>60</v>
      </c>
      <c r="P115" s="49"/>
    </row>
    <row r="116" spans="1:16">
      <c r="A116" s="5" t="s">
        <v>63</v>
      </c>
      <c r="D116" s="9">
        <f>P27</f>
        <v>0</v>
      </c>
      <c r="L116">
        <f>D121/100</f>
        <v>0</v>
      </c>
      <c r="P116" s="49"/>
    </row>
    <row r="117" spans="1:16">
      <c r="A117" s="5" t="s">
        <v>64</v>
      </c>
      <c r="C117" s="12" t="s">
        <v>65</v>
      </c>
      <c r="D117" s="9">
        <f>P66</f>
        <v>0</v>
      </c>
      <c r="L117">
        <f>TRUNC(L116)</f>
        <v>0</v>
      </c>
      <c r="P117" s="49"/>
    </row>
    <row r="118" spans="1:16">
      <c r="A118" s="5" t="s">
        <v>66</v>
      </c>
      <c r="C118" s="12" t="s">
        <v>65</v>
      </c>
      <c r="D118" s="9">
        <f>G104</f>
        <v>0</v>
      </c>
      <c r="L118">
        <f>IF(L116-L117&gt;=0.5,L117*100+100,L117*100)</f>
        <v>0</v>
      </c>
      <c r="P118" s="49"/>
    </row>
    <row r="119" spans="1:16">
      <c r="A119" s="5" t="s">
        <v>67</v>
      </c>
      <c r="C119" s="12" t="s">
        <v>55</v>
      </c>
      <c r="D119" s="9">
        <f>SUM(D116:D118)</f>
        <v>0</v>
      </c>
      <c r="P119" s="49"/>
    </row>
    <row r="120" spans="1:16">
      <c r="A120" s="5" t="s">
        <v>198</v>
      </c>
      <c r="C120" s="12" t="s">
        <v>199</v>
      </c>
      <c r="D120" s="9">
        <f>G112</f>
        <v>0</v>
      </c>
      <c r="P120" s="49"/>
    </row>
    <row r="121" spans="1:16" ht="13.8" thickBot="1">
      <c r="A121" s="5" t="s">
        <v>200</v>
      </c>
      <c r="C121" s="12" t="s">
        <v>55</v>
      </c>
      <c r="D121" s="9">
        <f>D119-D120</f>
        <v>0</v>
      </c>
      <c r="E121" s="5" t="s">
        <v>72</v>
      </c>
      <c r="F121" s="5"/>
      <c r="G121" s="15">
        <f>L118</f>
        <v>0</v>
      </c>
      <c r="P121" s="49"/>
    </row>
    <row r="122" spans="1:16">
      <c r="C122" s="5" t="s">
        <v>201</v>
      </c>
      <c r="G122" s="26"/>
      <c r="P122" s="49"/>
    </row>
    <row r="123" spans="1:16" ht="13.8" thickBot="1">
      <c r="C123" s="5" t="s">
        <v>202</v>
      </c>
      <c r="G123" s="7">
        <f>G121-G122</f>
        <v>0</v>
      </c>
      <c r="P123" s="49"/>
    </row>
    <row r="124" spans="1:16">
      <c r="P124" s="49"/>
    </row>
    <row r="125" spans="1:16">
      <c r="C125" s="13" t="s">
        <v>74</v>
      </c>
      <c r="E125" s="9">
        <f>G121</f>
        <v>0</v>
      </c>
      <c r="F125" s="33"/>
      <c r="P125" s="49"/>
    </row>
    <row r="126" spans="1:16">
      <c r="C126" s="5" t="s">
        <v>203</v>
      </c>
      <c r="E126">
        <f>G14</f>
        <v>0</v>
      </c>
      <c r="P126" s="49"/>
    </row>
    <row r="127" spans="1:16">
      <c r="P127" s="49"/>
    </row>
    <row r="128" spans="1:16">
      <c r="C128" s="5" t="s">
        <v>80</v>
      </c>
      <c r="E128" s="17" t="e">
        <f>E125/E126</f>
        <v>#DIV/0!</v>
      </c>
      <c r="F128" s="17"/>
      <c r="P128" s="49"/>
    </row>
    <row r="129" spans="1:18">
      <c r="P129" s="49"/>
    </row>
    <row r="130" spans="1:18" ht="16.5" customHeight="1">
      <c r="A130" s="16" t="s">
        <v>81</v>
      </c>
      <c r="B130" s="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107"/>
      <c r="Q130" s="94"/>
      <c r="R130" s="39"/>
    </row>
    <row r="131" spans="1:18" ht="15" customHeight="1">
      <c r="A131" s="16" t="s">
        <v>82</v>
      </c>
      <c r="B131" s="27"/>
      <c r="C131" s="94"/>
      <c r="D131" s="94"/>
      <c r="E131" s="94"/>
      <c r="F131" s="94"/>
      <c r="G131" s="94"/>
      <c r="H131" s="16" t="s">
        <v>83</v>
      </c>
      <c r="M131" s="108"/>
      <c r="N131" s="108"/>
      <c r="O131" s="108"/>
      <c r="P131" s="107"/>
      <c r="Q131" s="94"/>
      <c r="R131" s="39"/>
    </row>
    <row r="132" spans="1:18" ht="17.25" customHeight="1">
      <c r="A132" s="16" t="s">
        <v>84</v>
      </c>
      <c r="B132" s="27"/>
      <c r="C132" s="94"/>
      <c r="D132" s="94"/>
      <c r="E132" s="94"/>
      <c r="F132" s="94"/>
      <c r="G132" s="94"/>
      <c r="H132" s="16" t="s">
        <v>83</v>
      </c>
      <c r="M132" s="108"/>
      <c r="N132" s="108"/>
      <c r="O132" s="108"/>
      <c r="P132" s="107"/>
      <c r="Q132" s="94"/>
      <c r="R132" s="39"/>
    </row>
  </sheetData>
  <sheetProtection sheet="1" objects="1" scenarios="1" selectLockedCells="1"/>
  <phoneticPr fontId="0" type="noConversion"/>
  <printOptions horizontalCentered="1" verticalCentered="1"/>
  <pageMargins left="0.25" right="0.26" top="0.28000000000000003" bottom="0.25" header="0.25" footer="0.36"/>
  <pageSetup scale="82" fitToWidth="2" orientation="portrait" r:id="rId1"/>
  <headerFooter alignWithMargins="0"/>
  <rowBreaks count="1" manualBreakCount="1"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A97F70FB31347BF767F97E2B25764" ma:contentTypeVersion="3" ma:contentTypeDescription="Create a new document." ma:contentTypeScope="" ma:versionID="805c13b3e2538d11cc152ddf0ff20fab">
  <xsd:schema xmlns:xsd="http://www.w3.org/2001/XMLSchema" xmlns:xs="http://www.w3.org/2001/XMLSchema" xmlns:p="http://schemas.microsoft.com/office/2006/metadata/properties" xmlns:ns1="http://schemas.microsoft.com/sharepoint/v3" xmlns:ns2="e309d946-9fb8-48a3-ae4d-f86d881f4691" targetNamespace="http://schemas.microsoft.com/office/2006/metadata/properties" ma:root="true" ma:fieldsID="95138c8f3ba0ee1c4212543fb4869555" ns1:_="" ns2:_="">
    <xsd:import namespace="http://schemas.microsoft.com/sharepoint/v3"/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08D268-F415-41F5-8B35-287B5E706885}"/>
</file>

<file path=customXml/itemProps2.xml><?xml version="1.0" encoding="utf-8"?>
<ds:datastoreItem xmlns:ds="http://schemas.openxmlformats.org/officeDocument/2006/customXml" ds:itemID="{1C4CA3C9-BF0D-4DA0-9EA2-476C11394BF4}"/>
</file>

<file path=customXml/itemProps3.xml><?xml version="1.0" encoding="utf-8"?>
<ds:datastoreItem xmlns:ds="http://schemas.openxmlformats.org/officeDocument/2006/customXml" ds:itemID="{0E9AFE47-1783-44D4-BADE-5E268EE5D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 9</vt:lpstr>
      <vt:lpstr>Summary</vt:lpstr>
      <vt:lpstr>NewForm</vt:lpstr>
      <vt:lpstr>OldForm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COMPUTATION FORM</dc:title>
  <dc:creator>frazierr</dc:creator>
  <cp:lastModifiedBy>Baase, Dawn L (EEC)</cp:lastModifiedBy>
  <cp:lastPrinted>2024-08-05T15:58:52Z</cp:lastPrinted>
  <dcterms:created xsi:type="dcterms:W3CDTF">1999-06-23T15:05:09Z</dcterms:created>
  <dcterms:modified xsi:type="dcterms:W3CDTF">2024-08-05T15:59:26Z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0x01010070DA97F70FB31347BF767F97E2B25764</vt:lpwstr>
  </property>
</Properties>
</file>