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gram Planning Branch\Eval\SIP Revisions_Redesignation Requests\2021-12-03 RR 2015 O3 Louisville\2022-08-15 Louisville O3 Redes Final Draft\"/>
    </mc:Choice>
  </mc:AlternateContent>
  <xr:revisionPtr revIDLastSave="0" documentId="8_{384AE1A7-1151-45E2-B15E-A8BA1561C2C8}" xr6:coauthVersionLast="47" xr6:coauthVersionMax="47" xr10:uidLastSave="{00000000-0000-0000-0000-000000000000}"/>
  <bookViews>
    <workbookView xWindow="-120" yWindow="-120" windowWidth="29040" windowHeight="15840" xr2:uid="{41C89B4F-E5A2-48C8-8C27-E1F345797AE3}"/>
  </bookViews>
  <sheets>
    <sheet name="Data" sheetId="6" r:id="rId1"/>
    <sheet name="Chart 1" sheetId="3" r:id="rId2"/>
    <sheet name="Chart 2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5" l="1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59" i="5"/>
  <c r="E59" i="5"/>
  <c r="D60" i="5"/>
  <c r="E60" i="5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K24" i="6"/>
  <c r="K23" i="6"/>
  <c r="K22" i="6"/>
  <c r="K21" i="6"/>
  <c r="K20" i="6"/>
  <c r="K19" i="6"/>
  <c r="K14" i="6"/>
  <c r="K13" i="6"/>
  <c r="K12" i="6"/>
  <c r="K11" i="6"/>
  <c r="K10" i="6"/>
  <c r="K9" i="6"/>
  <c r="K8" i="6"/>
  <c r="K7" i="6"/>
  <c r="K6" i="6"/>
  <c r="M12" i="6"/>
  <c r="N12" i="6"/>
  <c r="G24" i="6"/>
  <c r="G22" i="6"/>
  <c r="G23" i="6"/>
  <c r="G21" i="6"/>
  <c r="G20" i="6"/>
  <c r="G19" i="6"/>
  <c r="G13" i="6"/>
  <c r="G14" i="6"/>
  <c r="G12" i="6"/>
  <c r="G11" i="6"/>
  <c r="G10" i="6"/>
  <c r="G9" i="6"/>
  <c r="G8" i="6"/>
  <c r="G7" i="6"/>
  <c r="G6" i="6"/>
  <c r="E26" i="6"/>
  <c r="E25" i="6"/>
  <c r="E24" i="6"/>
  <c r="D24" i="6"/>
  <c r="E23" i="6"/>
  <c r="D23" i="6"/>
  <c r="E22" i="6"/>
  <c r="D22" i="6"/>
  <c r="E21" i="6"/>
  <c r="D21" i="6"/>
  <c r="E20" i="6"/>
  <c r="D20" i="6"/>
  <c r="E19" i="6"/>
  <c r="D19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</calcChain>
</file>

<file path=xl/sharedStrings.xml><?xml version="1.0" encoding="utf-8"?>
<sst xmlns="http://schemas.openxmlformats.org/spreadsheetml/2006/main" count="163" uniqueCount="63">
  <si>
    <t>Plan</t>
  </si>
  <si>
    <t>VMT</t>
  </si>
  <si>
    <t>VOCs</t>
  </si>
  <si>
    <t>(kg / day)</t>
  </si>
  <si>
    <t>(millions / day)</t>
  </si>
  <si>
    <t>NOx</t>
  </si>
  <si>
    <t>08PlanA</t>
  </si>
  <si>
    <t>09PlanA</t>
  </si>
  <si>
    <t>10PlanA</t>
  </si>
  <si>
    <t>11PlanA</t>
  </si>
  <si>
    <t>12PlanA</t>
  </si>
  <si>
    <t>13PlanA</t>
  </si>
  <si>
    <t>14PlanA</t>
  </si>
  <si>
    <t>No  Ozone  Analysis</t>
  </si>
  <si>
    <t>14PlanB</t>
  </si>
  <si>
    <t>15PlanA</t>
  </si>
  <si>
    <t>16PlanA</t>
  </si>
  <si>
    <t>18PlanA</t>
  </si>
  <si>
    <t>11PlanB</t>
  </si>
  <si>
    <t>11PlanC</t>
  </si>
  <si>
    <t>12PlanB</t>
  </si>
  <si>
    <t>Date</t>
  </si>
  <si>
    <t>10 / 2012</t>
  </si>
  <si>
    <t xml:space="preserve">  2 / 2008</t>
  </si>
  <si>
    <t xml:space="preserve">  9 / 2009</t>
  </si>
  <si>
    <t xml:space="preserve">  7 / 2010</t>
  </si>
  <si>
    <t xml:space="preserve">  3 / 2011</t>
  </si>
  <si>
    <t xml:space="preserve">  6 / 2011</t>
  </si>
  <si>
    <t xml:space="preserve">  9 / 2011</t>
  </si>
  <si>
    <t xml:space="preserve">  4 / 2012</t>
  </si>
  <si>
    <t xml:space="preserve">  5 / 2013</t>
  </si>
  <si>
    <t xml:space="preserve">  1 / 2014</t>
  </si>
  <si>
    <t xml:space="preserve">  6 / 2014</t>
  </si>
  <si>
    <t xml:space="preserve">  1 / 2015</t>
  </si>
  <si>
    <t xml:space="preserve">  3 / 2016</t>
  </si>
  <si>
    <t xml:space="preserve">  9 / 2018</t>
  </si>
  <si>
    <t>19PlanB</t>
  </si>
  <si>
    <t xml:space="preserve">  5 / 2019</t>
  </si>
  <si>
    <t>Summary of Information from Air Quality Analyses since 2008</t>
  </si>
  <si>
    <t>"Date"</t>
  </si>
  <si>
    <t>20PlanA</t>
  </si>
  <si>
    <t>20PlanB</t>
  </si>
  <si>
    <t>20PlanC</t>
  </si>
  <si>
    <t>10 / 2019</t>
  </si>
  <si>
    <t>5 / 2020</t>
  </si>
  <si>
    <t>10 / 2020</t>
  </si>
  <si>
    <t>(tons / sum. day)</t>
  </si>
  <si>
    <t>Revised 2020</t>
  </si>
  <si>
    <t>1 / 2022</t>
  </si>
  <si>
    <t>kg of NOx/VMT</t>
  </si>
  <si>
    <t>Revised in 2022</t>
  </si>
  <si>
    <t>PM 2.5  Analysis</t>
  </si>
  <si>
    <t>Emissions</t>
  </si>
  <si>
    <t>Model</t>
  </si>
  <si>
    <t>MOBILE 6</t>
  </si>
  <si>
    <t>MOVES</t>
  </si>
  <si>
    <t>------------</t>
  </si>
  <si>
    <t>MOVES 2014b</t>
  </si>
  <si>
    <t>MOVES 3.0.2</t>
  </si>
  <si>
    <t>2020 Budgets w/ the actual 56% Margin of Safety</t>
  </si>
  <si>
    <t>NOx / VMT</t>
  </si>
  <si>
    <t>2020 Budgets if there had been a 15% Margin of Safety</t>
  </si>
  <si>
    <t>(kg /thousand vmt)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</si>
</sst>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2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2" fontId="0" fillId="0" borderId="0" xfId="0" applyNumberFormat="1"/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9" fontId="0" fillId="0" borderId="0" xfId="0" applyNumberFormat="1"/>
    <xf numFmtId="0" fontId="0" fillId="2" borderId="0" xfId="0" applyFill="1"/>
    <xf numFmtId="164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EF6A2F"/>
      <color rgb="FFF4B12A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700"/>
              <a:t>Chart 1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VMT, VOCs,</a:t>
            </a:r>
            <a:r>
              <a:rPr lang="en-US" baseline="0"/>
              <a:t> and NOx (Conformity) Trends from 2008</a:t>
            </a:r>
          </a:p>
        </c:rich>
      </c:tx>
      <c:layout>
        <c:manualLayout>
          <c:xMode val="edge"/>
          <c:yMode val="edge"/>
          <c:x val="0.33105706185972428"/>
          <c:y val="8.14871207039204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1'!$E$45</c:f>
              <c:strCache>
                <c:ptCount val="1"/>
                <c:pt idx="0">
                  <c:v>VMT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'Chart 1'!$D$46:$D$60</c:f>
              <c:numCache>
                <c:formatCode>General</c:formatCode>
                <c:ptCount val="15"/>
                <c:pt idx="0">
                  <c:v>2008.1666666666667</c:v>
                </c:pt>
                <c:pt idx="1">
                  <c:v>2009.75</c:v>
                </c:pt>
                <c:pt idx="2">
                  <c:v>2010.5833333333333</c:v>
                </c:pt>
                <c:pt idx="3">
                  <c:v>2011.25</c:v>
                </c:pt>
                <c:pt idx="4">
                  <c:v>2011.5</c:v>
                </c:pt>
                <c:pt idx="5">
                  <c:v>2011.75</c:v>
                </c:pt>
                <c:pt idx="6">
                  <c:v>2012.3333333333333</c:v>
                </c:pt>
                <c:pt idx="7">
                  <c:v>2012.8333333333333</c:v>
                </c:pt>
                <c:pt idx="8">
                  <c:v>2013.4166666666667</c:v>
                </c:pt>
                <c:pt idx="9">
                  <c:v>2018.75</c:v>
                </c:pt>
                <c:pt idx="10">
                  <c:v>2019.4166666666667</c:v>
                </c:pt>
                <c:pt idx="11">
                  <c:v>2019.8333333333333</c:v>
                </c:pt>
                <c:pt idx="12">
                  <c:v>2020.4166666666667</c:v>
                </c:pt>
                <c:pt idx="13">
                  <c:v>2020.8333333333333</c:v>
                </c:pt>
                <c:pt idx="14">
                  <c:v>2022.0833333333333</c:v>
                </c:pt>
              </c:numCache>
            </c:numRef>
          </c:xVal>
          <c:yVal>
            <c:numRef>
              <c:f>'Chart 1'!$E$46:$E$60</c:f>
              <c:numCache>
                <c:formatCode>0.00</c:formatCode>
                <c:ptCount val="15"/>
                <c:pt idx="0">
                  <c:v>39840</c:v>
                </c:pt>
                <c:pt idx="1">
                  <c:v>38010</c:v>
                </c:pt>
                <c:pt idx="2">
                  <c:v>39030</c:v>
                </c:pt>
                <c:pt idx="3">
                  <c:v>35850</c:v>
                </c:pt>
                <c:pt idx="4">
                  <c:v>35950</c:v>
                </c:pt>
                <c:pt idx="5">
                  <c:v>36200</c:v>
                </c:pt>
                <c:pt idx="6">
                  <c:v>36240</c:v>
                </c:pt>
                <c:pt idx="7">
                  <c:v>36210</c:v>
                </c:pt>
                <c:pt idx="8">
                  <c:v>36230</c:v>
                </c:pt>
                <c:pt idx="9">
                  <c:v>33580</c:v>
                </c:pt>
                <c:pt idx="10">
                  <c:v>33240</c:v>
                </c:pt>
                <c:pt idx="11">
                  <c:v>33280</c:v>
                </c:pt>
                <c:pt idx="12">
                  <c:v>33280</c:v>
                </c:pt>
                <c:pt idx="13">
                  <c:v>33280</c:v>
                </c:pt>
                <c:pt idx="14">
                  <c:v>33280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8E-4843-8A2C-C48C23E57D00}"/>
            </c:ext>
          </c:extLst>
        </c:ser>
        <c:ser>
          <c:idx val="1"/>
          <c:order val="1"/>
          <c:tx>
            <c:strRef>
              <c:f>'Chart 1'!$F$45</c:f>
              <c:strCache>
                <c:ptCount val="1"/>
                <c:pt idx="0">
                  <c:v>VOCs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'Chart 1'!$D$46:$D$60</c:f>
              <c:numCache>
                <c:formatCode>General</c:formatCode>
                <c:ptCount val="15"/>
                <c:pt idx="0">
                  <c:v>2008.1666666666667</c:v>
                </c:pt>
                <c:pt idx="1">
                  <c:v>2009.75</c:v>
                </c:pt>
                <c:pt idx="2">
                  <c:v>2010.5833333333333</c:v>
                </c:pt>
                <c:pt idx="3">
                  <c:v>2011.25</c:v>
                </c:pt>
                <c:pt idx="4">
                  <c:v>2011.5</c:v>
                </c:pt>
                <c:pt idx="5">
                  <c:v>2011.75</c:v>
                </c:pt>
                <c:pt idx="6">
                  <c:v>2012.3333333333333</c:v>
                </c:pt>
                <c:pt idx="7">
                  <c:v>2012.8333333333333</c:v>
                </c:pt>
                <c:pt idx="8">
                  <c:v>2013.4166666666667</c:v>
                </c:pt>
                <c:pt idx="9">
                  <c:v>2018.75</c:v>
                </c:pt>
                <c:pt idx="10">
                  <c:v>2019.4166666666667</c:v>
                </c:pt>
                <c:pt idx="11">
                  <c:v>2019.8333333333333</c:v>
                </c:pt>
                <c:pt idx="12">
                  <c:v>2020.4166666666667</c:v>
                </c:pt>
                <c:pt idx="13">
                  <c:v>2020.8333333333333</c:v>
                </c:pt>
                <c:pt idx="14">
                  <c:v>2022.0833333333333</c:v>
                </c:pt>
              </c:numCache>
            </c:numRef>
          </c:xVal>
          <c:yVal>
            <c:numRef>
              <c:f>'Chart 1'!$F$46:$F$60</c:f>
              <c:numCache>
                <c:formatCode>#,##0</c:formatCode>
                <c:ptCount val="15"/>
                <c:pt idx="0">
                  <c:v>14622</c:v>
                </c:pt>
                <c:pt idx="1">
                  <c:v>14914</c:v>
                </c:pt>
                <c:pt idx="2">
                  <c:v>15479</c:v>
                </c:pt>
                <c:pt idx="3">
                  <c:v>14060</c:v>
                </c:pt>
                <c:pt idx="4">
                  <c:v>9590</c:v>
                </c:pt>
                <c:pt idx="5">
                  <c:v>9590</c:v>
                </c:pt>
                <c:pt idx="6">
                  <c:v>10028</c:v>
                </c:pt>
                <c:pt idx="7">
                  <c:v>9879</c:v>
                </c:pt>
                <c:pt idx="8">
                  <c:v>11056</c:v>
                </c:pt>
                <c:pt idx="9">
                  <c:v>12917</c:v>
                </c:pt>
                <c:pt idx="10">
                  <c:v>12734</c:v>
                </c:pt>
                <c:pt idx="11">
                  <c:v>12719</c:v>
                </c:pt>
                <c:pt idx="12">
                  <c:v>13652</c:v>
                </c:pt>
                <c:pt idx="13">
                  <c:v>13054</c:v>
                </c:pt>
                <c:pt idx="14">
                  <c:v>9916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8E-4843-8A2C-C48C23E57D00}"/>
            </c:ext>
          </c:extLst>
        </c:ser>
        <c:ser>
          <c:idx val="2"/>
          <c:order val="2"/>
          <c:tx>
            <c:strRef>
              <c:f>'Chart 1'!$G$45</c:f>
              <c:strCache>
                <c:ptCount val="1"/>
                <c:pt idx="0">
                  <c:v>NOx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'Chart 1'!$D$46:$D$60</c:f>
              <c:numCache>
                <c:formatCode>General</c:formatCode>
                <c:ptCount val="15"/>
                <c:pt idx="0">
                  <c:v>2008.1666666666667</c:v>
                </c:pt>
                <c:pt idx="1">
                  <c:v>2009.75</c:v>
                </c:pt>
                <c:pt idx="2">
                  <c:v>2010.5833333333333</c:v>
                </c:pt>
                <c:pt idx="3">
                  <c:v>2011.25</c:v>
                </c:pt>
                <c:pt idx="4">
                  <c:v>2011.5</c:v>
                </c:pt>
                <c:pt idx="5">
                  <c:v>2011.75</c:v>
                </c:pt>
                <c:pt idx="6">
                  <c:v>2012.3333333333333</c:v>
                </c:pt>
                <c:pt idx="7">
                  <c:v>2012.8333333333333</c:v>
                </c:pt>
                <c:pt idx="8">
                  <c:v>2013.4166666666667</c:v>
                </c:pt>
                <c:pt idx="9">
                  <c:v>2018.75</c:v>
                </c:pt>
                <c:pt idx="10">
                  <c:v>2019.4166666666667</c:v>
                </c:pt>
                <c:pt idx="11">
                  <c:v>2019.8333333333333</c:v>
                </c:pt>
                <c:pt idx="12">
                  <c:v>2020.4166666666667</c:v>
                </c:pt>
                <c:pt idx="13">
                  <c:v>2020.8333333333333</c:v>
                </c:pt>
                <c:pt idx="14">
                  <c:v>2022.0833333333333</c:v>
                </c:pt>
              </c:numCache>
            </c:numRef>
          </c:xVal>
          <c:yVal>
            <c:numRef>
              <c:f>'Chart 1'!$G$46:$G$60</c:f>
              <c:numCache>
                <c:formatCode>#,##0</c:formatCode>
                <c:ptCount val="15"/>
                <c:pt idx="0">
                  <c:v>17020</c:v>
                </c:pt>
                <c:pt idx="1">
                  <c:v>18518</c:v>
                </c:pt>
                <c:pt idx="2">
                  <c:v>19087</c:v>
                </c:pt>
                <c:pt idx="3">
                  <c:v>17582</c:v>
                </c:pt>
                <c:pt idx="4">
                  <c:v>21414</c:v>
                </c:pt>
                <c:pt idx="5">
                  <c:v>21414</c:v>
                </c:pt>
                <c:pt idx="6">
                  <c:v>24269</c:v>
                </c:pt>
                <c:pt idx="7">
                  <c:v>23750</c:v>
                </c:pt>
                <c:pt idx="8">
                  <c:v>22887</c:v>
                </c:pt>
                <c:pt idx="9">
                  <c:v>26303</c:v>
                </c:pt>
                <c:pt idx="10">
                  <c:v>26501</c:v>
                </c:pt>
                <c:pt idx="11">
                  <c:v>26443</c:v>
                </c:pt>
                <c:pt idx="12">
                  <c:v>23746</c:v>
                </c:pt>
                <c:pt idx="13">
                  <c:v>25586</c:v>
                </c:pt>
                <c:pt idx="14">
                  <c:v>25057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98E-4843-8A2C-C48C23E57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970271"/>
        <c:axId val="1515957375"/>
      </c:scatterChart>
      <c:valAx>
        <c:axId val="1515970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957375"/>
        <c:crosses val="autoZero"/>
        <c:crossBetween val="midCat"/>
      </c:valAx>
      <c:valAx>
        <c:axId val="1515957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59702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700"/>
              <a:t>Chart 2</a:t>
            </a:r>
          </a:p>
          <a:p>
            <a:pPr>
              <a:defRPr/>
            </a:pPr>
            <a:r>
              <a:rPr lang="en-US"/>
              <a:t> kg of NOx/VMT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2'!$E$45</c:f>
              <c:strCache>
                <c:ptCount val="1"/>
                <c:pt idx="0">
                  <c:v>kg of NOx/VMT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'Chart 2'!$D$46:$D$60</c:f>
              <c:numCache>
                <c:formatCode>General</c:formatCode>
                <c:ptCount val="15"/>
                <c:pt idx="0">
                  <c:v>2008.1666666666667</c:v>
                </c:pt>
                <c:pt idx="1">
                  <c:v>2009.75</c:v>
                </c:pt>
                <c:pt idx="2">
                  <c:v>2010.5833333333333</c:v>
                </c:pt>
                <c:pt idx="3">
                  <c:v>2011.25</c:v>
                </c:pt>
                <c:pt idx="4">
                  <c:v>2011.5</c:v>
                </c:pt>
                <c:pt idx="5">
                  <c:v>2011.75</c:v>
                </c:pt>
                <c:pt idx="6">
                  <c:v>2012.3333333333333</c:v>
                </c:pt>
                <c:pt idx="7">
                  <c:v>2012.8333333333333</c:v>
                </c:pt>
                <c:pt idx="8">
                  <c:v>2013.4166666666667</c:v>
                </c:pt>
                <c:pt idx="9">
                  <c:v>2018.75</c:v>
                </c:pt>
                <c:pt idx="10">
                  <c:v>2019.4166666666667</c:v>
                </c:pt>
                <c:pt idx="11">
                  <c:v>2019.8333333333333</c:v>
                </c:pt>
                <c:pt idx="12">
                  <c:v>2020.4166666666667</c:v>
                </c:pt>
                <c:pt idx="13">
                  <c:v>2020.8333333333333</c:v>
                </c:pt>
                <c:pt idx="14">
                  <c:v>2022.0833333333333</c:v>
                </c:pt>
              </c:numCache>
            </c:numRef>
          </c:xVal>
          <c:yVal>
            <c:numRef>
              <c:f>'Chart 2'!$E$46:$E$60</c:f>
              <c:numCache>
                <c:formatCode>General</c:formatCode>
                <c:ptCount val="15"/>
                <c:pt idx="0">
                  <c:v>0.42720883534136544</c:v>
                </c:pt>
                <c:pt idx="1">
                  <c:v>0.48718758221520653</c:v>
                </c:pt>
                <c:pt idx="2">
                  <c:v>0.48903407635152446</c:v>
                </c:pt>
                <c:pt idx="3">
                  <c:v>0.49043235704323568</c:v>
                </c:pt>
                <c:pt idx="4">
                  <c:v>0.59566063977746875</c:v>
                </c:pt>
                <c:pt idx="5">
                  <c:v>0.59154696132596685</c:v>
                </c:pt>
                <c:pt idx="6">
                  <c:v>0.6696743929359823</c:v>
                </c:pt>
                <c:pt idx="7">
                  <c:v>0.65589616128141393</c:v>
                </c:pt>
                <c:pt idx="8">
                  <c:v>0.63171404913055473</c:v>
                </c:pt>
                <c:pt idx="9">
                  <c:v>0.78329362715902318</c:v>
                </c:pt>
                <c:pt idx="10">
                  <c:v>0.79726233453670281</c:v>
                </c:pt>
                <c:pt idx="11">
                  <c:v>0.79456129807692311</c:v>
                </c:pt>
                <c:pt idx="12">
                  <c:v>0.71352163461538465</c:v>
                </c:pt>
                <c:pt idx="13">
                  <c:v>0.7688100961538461</c:v>
                </c:pt>
                <c:pt idx="14">
                  <c:v>0.75291466346153846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68-4D81-AF64-9CE6A11B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940624"/>
        <c:axId val="1347958512"/>
      </c:scatterChart>
      <c:valAx>
        <c:axId val="134794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958512"/>
        <c:crosses val="autoZero"/>
        <c:crossBetween val="midCat"/>
      </c:valAx>
      <c:valAx>
        <c:axId val="134795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94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123824</xdr:colOff>
      <xdr:row>2</xdr:row>
      <xdr:rowOff>61911</xdr:rowOff>
    </xdr:from>
    <xdr:to>
      <xdr:col>17</xdr:col>
      <xdr:colOff>47625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046557-47BA-46EA-8FA9-3163D14E56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104773</xdr:colOff>
      <xdr:row>2</xdr:row>
      <xdr:rowOff>100011</xdr:rowOff>
    </xdr:from>
    <xdr:to>
      <xdr:col>14</xdr:col>
      <xdr:colOff>866775</xdr:colOff>
      <xdr:row>34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107830-FCA6-46E7-9548-406F2A8DD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96E2E-5066-453F-92B8-6A63E6BE5E7E}">
  <dimension ref="A1:N26"/>
  <sheetViews>
    <sheetView tabSelected="1" workbookViewId="0">
      <selection activeCell="B29" sqref="B29:B33"/>
    </sheetView>
  </sheetViews>
  <sheetFormatPr defaultColWidth="10.77734375" defaultRowHeight="17.25" customHeight="1" x14ac:dyDescent="0.2"/>
  <cols>
    <col min="2" max="6" width="12.77734375" customWidth="1"/>
    <col min="8" max="9" width="12.77734375" customWidth="1"/>
    <col min="11" max="11" width="15.77734375" customWidth="1"/>
    <col min="12" max="12" width="5.77734375" customWidth="1"/>
  </cols>
  <sheetData>
    <row r="1" spans="1:14" ht="17.25" customHeight="1" x14ac:dyDescent="0.25">
      <c r="A1" s="6" t="s">
        <v>38</v>
      </c>
    </row>
    <row r="3" spans="1:14" ht="17.25" customHeight="1" x14ac:dyDescent="0.2">
      <c r="H3" s="1"/>
      <c r="I3" s="1"/>
      <c r="J3" s="1"/>
    </row>
    <row r="4" spans="1:14" ht="17.25" customHeight="1" x14ac:dyDescent="0.2">
      <c r="A4" t="s">
        <v>0</v>
      </c>
      <c r="B4" s="1" t="s">
        <v>21</v>
      </c>
      <c r="C4" s="1" t="s">
        <v>52</v>
      </c>
      <c r="D4" s="1" t="s">
        <v>2</v>
      </c>
      <c r="E4" s="1" t="s">
        <v>5</v>
      </c>
      <c r="F4" s="1"/>
      <c r="G4" s="1" t="s">
        <v>39</v>
      </c>
      <c r="H4" s="1" t="s">
        <v>1</v>
      </c>
      <c r="I4" s="1" t="s">
        <v>2</v>
      </c>
      <c r="J4" s="1" t="s">
        <v>5</v>
      </c>
      <c r="K4" s="1" t="s">
        <v>60</v>
      </c>
      <c r="L4" s="1"/>
      <c r="M4" t="s">
        <v>59</v>
      </c>
    </row>
    <row r="5" spans="1:14" ht="17.25" customHeight="1" x14ac:dyDescent="0.2">
      <c r="B5" s="1"/>
      <c r="C5" s="1" t="s">
        <v>53</v>
      </c>
      <c r="D5" s="1" t="s">
        <v>46</v>
      </c>
      <c r="E5" s="1" t="s">
        <v>46</v>
      </c>
      <c r="F5" s="1"/>
      <c r="H5" s="1" t="s">
        <v>4</v>
      </c>
      <c r="I5" s="1" t="s">
        <v>3</v>
      </c>
      <c r="J5" s="1" t="s">
        <v>3</v>
      </c>
      <c r="K5" s="1" t="s">
        <v>62</v>
      </c>
      <c r="M5" s="1" t="s">
        <v>2</v>
      </c>
      <c r="N5" s="1" t="s">
        <v>5</v>
      </c>
    </row>
    <row r="6" spans="1:14" ht="17.25" customHeight="1" x14ac:dyDescent="0.2">
      <c r="A6" t="s">
        <v>6</v>
      </c>
      <c r="B6" s="1" t="s">
        <v>23</v>
      </c>
      <c r="C6" s="1" t="s">
        <v>54</v>
      </c>
      <c r="D6" s="9">
        <f t="shared" ref="D6:D14" si="0">I6/0.4536/2000</f>
        <v>16.117724867724867</v>
      </c>
      <c r="E6" s="9">
        <f t="shared" ref="E6:E14" si="1">J6/0.4536/2000</f>
        <v>18.761022927689595</v>
      </c>
      <c r="F6" s="9"/>
      <c r="G6" s="1">
        <f t="shared" ref="G6:G12" si="2">VALUE(RIGHT(B6,4))+VALUE(LEFT(B6,4))/12</f>
        <v>2008.1666666666667</v>
      </c>
      <c r="H6" s="3">
        <v>39.840000000000003</v>
      </c>
      <c r="I6" s="2">
        <v>14622</v>
      </c>
      <c r="J6" s="2">
        <v>17020</v>
      </c>
      <c r="K6">
        <f>J6/H6/1000</f>
        <v>0.42720883534136544</v>
      </c>
      <c r="M6" s="1" t="s">
        <v>3</v>
      </c>
      <c r="N6" s="1" t="s">
        <v>3</v>
      </c>
    </row>
    <row r="7" spans="1:14" ht="17.25" customHeight="1" x14ac:dyDescent="0.2">
      <c r="A7" t="s">
        <v>7</v>
      </c>
      <c r="B7" s="1" t="s">
        <v>24</v>
      </c>
      <c r="C7" s="1" t="s">
        <v>54</v>
      </c>
      <c r="D7" s="9">
        <f t="shared" si="0"/>
        <v>16.439594356261022</v>
      </c>
      <c r="E7" s="9">
        <f t="shared" si="1"/>
        <v>20.412257495590829</v>
      </c>
      <c r="F7" s="9"/>
      <c r="G7" s="1">
        <f t="shared" si="2"/>
        <v>2009.75</v>
      </c>
      <c r="H7" s="3">
        <v>38.01</v>
      </c>
      <c r="I7" s="2">
        <v>14914</v>
      </c>
      <c r="J7" s="2">
        <v>18518</v>
      </c>
      <c r="K7">
        <f t="shared" ref="K7:K14" si="3">J7/H7/1000</f>
        <v>0.48718758221520653</v>
      </c>
      <c r="M7" s="2">
        <v>20793</v>
      </c>
      <c r="N7" s="2">
        <v>26726</v>
      </c>
    </row>
    <row r="8" spans="1:14" ht="17.25" customHeight="1" x14ac:dyDescent="0.2">
      <c r="A8" t="s">
        <v>8</v>
      </c>
      <c r="B8" s="1" t="s">
        <v>25</v>
      </c>
      <c r="C8" s="1" t="s">
        <v>54</v>
      </c>
      <c r="D8" s="9">
        <f t="shared" si="0"/>
        <v>17.062389770723104</v>
      </c>
      <c r="E8" s="9">
        <f t="shared" si="1"/>
        <v>21.039462081128747</v>
      </c>
      <c r="F8" s="9"/>
      <c r="G8" s="1">
        <f t="shared" si="2"/>
        <v>2010.5833333333333</v>
      </c>
      <c r="H8" s="3">
        <v>39.03</v>
      </c>
      <c r="I8" s="2">
        <v>15479</v>
      </c>
      <c r="J8" s="2">
        <v>19087</v>
      </c>
      <c r="K8">
        <f t="shared" si="3"/>
        <v>0.48903407635152446</v>
      </c>
      <c r="N8" s="7"/>
    </row>
    <row r="9" spans="1:14" ht="17.25" customHeight="1" x14ac:dyDescent="0.2">
      <c r="A9" t="s">
        <v>9</v>
      </c>
      <c r="B9" s="1" t="s">
        <v>26</v>
      </c>
      <c r="C9" s="1" t="s">
        <v>54</v>
      </c>
      <c r="D9" s="9">
        <f t="shared" si="0"/>
        <v>15.498236331569665</v>
      </c>
      <c r="E9" s="9">
        <f t="shared" si="1"/>
        <v>19.380511463844798</v>
      </c>
      <c r="F9" s="9"/>
      <c r="G9" s="1">
        <f t="shared" si="2"/>
        <v>2011.25</v>
      </c>
      <c r="H9" s="3">
        <v>35.85</v>
      </c>
      <c r="I9" s="2">
        <v>14060</v>
      </c>
      <c r="J9" s="2">
        <v>17582</v>
      </c>
      <c r="K9">
        <f t="shared" si="3"/>
        <v>0.49043235704323568</v>
      </c>
      <c r="M9" t="s">
        <v>61</v>
      </c>
    </row>
    <row r="10" spans="1:14" ht="17.25" customHeight="1" x14ac:dyDescent="0.2">
      <c r="A10" t="s">
        <v>18</v>
      </c>
      <c r="B10" s="1" t="s">
        <v>27</v>
      </c>
      <c r="C10" s="1" t="s">
        <v>55</v>
      </c>
      <c r="D10" s="9">
        <f t="shared" si="0"/>
        <v>10.570987654320989</v>
      </c>
      <c r="E10" s="9">
        <f t="shared" si="1"/>
        <v>23.604497354497354</v>
      </c>
      <c r="F10" s="9"/>
      <c r="G10" s="1">
        <f t="shared" si="2"/>
        <v>2011.5</v>
      </c>
      <c r="H10" s="3">
        <v>35.950000000000003</v>
      </c>
      <c r="I10" s="2">
        <v>9590</v>
      </c>
      <c r="J10" s="2">
        <v>21414</v>
      </c>
      <c r="K10">
        <f t="shared" si="3"/>
        <v>0.59566063977746864</v>
      </c>
      <c r="M10" s="1" t="s">
        <v>2</v>
      </c>
      <c r="N10" s="1" t="s">
        <v>5</v>
      </c>
    </row>
    <row r="11" spans="1:14" ht="17.25" customHeight="1" x14ac:dyDescent="0.2">
      <c r="A11" t="s">
        <v>19</v>
      </c>
      <c r="B11" s="1" t="s">
        <v>28</v>
      </c>
      <c r="C11" s="1" t="s">
        <v>55</v>
      </c>
      <c r="D11" s="9">
        <f t="shared" si="0"/>
        <v>10.570987654320989</v>
      </c>
      <c r="E11" s="9">
        <f t="shared" si="1"/>
        <v>23.604497354497354</v>
      </c>
      <c r="F11" s="9"/>
      <c r="G11" s="1">
        <f t="shared" si="2"/>
        <v>2011.75</v>
      </c>
      <c r="H11" s="3">
        <v>36.200000000000003</v>
      </c>
      <c r="I11" s="2">
        <v>9590</v>
      </c>
      <c r="J11" s="2">
        <v>21414</v>
      </c>
      <c r="K11">
        <f t="shared" si="3"/>
        <v>0.59154696132596674</v>
      </c>
      <c r="M11" s="1" t="s">
        <v>3</v>
      </c>
      <c r="N11" s="1" t="s">
        <v>3</v>
      </c>
    </row>
    <row r="12" spans="1:14" ht="17.25" customHeight="1" x14ac:dyDescent="0.2">
      <c r="A12" t="s">
        <v>10</v>
      </c>
      <c r="B12" s="1" t="s">
        <v>29</v>
      </c>
      <c r="C12" s="1" t="s">
        <v>55</v>
      </c>
      <c r="D12" s="9">
        <f t="shared" si="0"/>
        <v>11.05379188712522</v>
      </c>
      <c r="E12" s="9">
        <f t="shared" si="1"/>
        <v>26.751543209876541</v>
      </c>
      <c r="F12" s="9"/>
      <c r="G12" s="1">
        <f t="shared" si="2"/>
        <v>2012.3333333333333</v>
      </c>
      <c r="H12" s="3">
        <v>36.24</v>
      </c>
      <c r="I12" s="2">
        <v>10028</v>
      </c>
      <c r="J12" s="2">
        <v>24269</v>
      </c>
      <c r="K12">
        <f t="shared" si="3"/>
        <v>0.6696743929359823</v>
      </c>
      <c r="M12" s="2">
        <f>M7*1.15/1.56</f>
        <v>15328.173076923074</v>
      </c>
      <c r="N12" s="2">
        <f>N7*1.15/1.56</f>
        <v>19701.858974358973</v>
      </c>
    </row>
    <row r="13" spans="1:14" ht="17.25" customHeight="1" x14ac:dyDescent="0.2">
      <c r="A13" t="s">
        <v>20</v>
      </c>
      <c r="B13" s="4" t="s">
        <v>22</v>
      </c>
      <c r="C13" s="1" t="s">
        <v>55</v>
      </c>
      <c r="D13" s="9">
        <f t="shared" si="0"/>
        <v>10.889550264550264</v>
      </c>
      <c r="E13" s="9">
        <f t="shared" si="1"/>
        <v>26.179453262786595</v>
      </c>
      <c r="F13" s="9"/>
      <c r="G13" s="1">
        <f>VALUE(RIGHT(B13,4))+VALUE(LEFT(B13,3))/12</f>
        <v>2012.8333333333333</v>
      </c>
      <c r="H13" s="3">
        <v>36.21</v>
      </c>
      <c r="I13" s="2">
        <v>9879</v>
      </c>
      <c r="J13" s="2">
        <v>23750</v>
      </c>
      <c r="K13">
        <f t="shared" si="3"/>
        <v>0.65589616128141393</v>
      </c>
    </row>
    <row r="14" spans="1:14" ht="17.25" customHeight="1" x14ac:dyDescent="0.2">
      <c r="A14" t="s">
        <v>11</v>
      </c>
      <c r="B14" s="5" t="s">
        <v>30</v>
      </c>
      <c r="C14" s="1" t="s">
        <v>55</v>
      </c>
      <c r="D14" s="9">
        <f t="shared" si="0"/>
        <v>12.186948853615521</v>
      </c>
      <c r="E14" s="9">
        <f t="shared" si="1"/>
        <v>25.228174603174605</v>
      </c>
      <c r="F14" s="9"/>
      <c r="G14" s="1">
        <f>VALUE(RIGHT(B14,4))+VALUE(LEFT(B14,4))/12</f>
        <v>2013.4166666666667</v>
      </c>
      <c r="H14" s="3">
        <v>36.229999999999997</v>
      </c>
      <c r="I14" s="2">
        <v>11056</v>
      </c>
      <c r="J14" s="2">
        <v>22887</v>
      </c>
      <c r="K14">
        <f t="shared" si="3"/>
        <v>0.63171404913055484</v>
      </c>
    </row>
    <row r="15" spans="1:14" ht="17.25" customHeight="1" x14ac:dyDescent="0.2">
      <c r="A15" t="s">
        <v>12</v>
      </c>
      <c r="B15" s="5" t="s">
        <v>31</v>
      </c>
      <c r="C15" s="5" t="s">
        <v>56</v>
      </c>
      <c r="D15" s="11" t="s">
        <v>13</v>
      </c>
      <c r="E15" s="11"/>
      <c r="F15" s="10"/>
      <c r="H15" s="3"/>
      <c r="I15" s="10" t="s">
        <v>13</v>
      </c>
      <c r="J15" s="2"/>
    </row>
    <row r="16" spans="1:14" ht="17.25" customHeight="1" x14ac:dyDescent="0.2">
      <c r="A16" t="s">
        <v>14</v>
      </c>
      <c r="B16" s="5" t="s">
        <v>32</v>
      </c>
      <c r="C16" s="5" t="s">
        <v>56</v>
      </c>
      <c r="D16" s="11" t="s">
        <v>13</v>
      </c>
      <c r="E16" s="11"/>
      <c r="F16" s="10"/>
      <c r="H16" s="3"/>
      <c r="I16" s="10" t="s">
        <v>13</v>
      </c>
      <c r="J16" s="2"/>
    </row>
    <row r="17" spans="1:11" ht="17.25" customHeight="1" x14ac:dyDescent="0.2">
      <c r="A17" t="s">
        <v>15</v>
      </c>
      <c r="B17" s="5" t="s">
        <v>33</v>
      </c>
      <c r="C17" s="5" t="s">
        <v>56</v>
      </c>
      <c r="D17" s="11" t="s">
        <v>51</v>
      </c>
      <c r="E17" s="11"/>
      <c r="F17" s="10"/>
      <c r="H17" s="11" t="s">
        <v>51</v>
      </c>
      <c r="I17" s="11"/>
      <c r="J17" s="11"/>
    </row>
    <row r="18" spans="1:11" ht="17.25" customHeight="1" x14ac:dyDescent="0.2">
      <c r="A18" t="s">
        <v>16</v>
      </c>
      <c r="B18" s="5" t="s">
        <v>34</v>
      </c>
      <c r="C18" s="5" t="s">
        <v>56</v>
      </c>
      <c r="D18" s="11" t="s">
        <v>13</v>
      </c>
      <c r="E18" s="11"/>
      <c r="F18" s="10"/>
      <c r="H18" s="3"/>
      <c r="I18" s="10" t="s">
        <v>13</v>
      </c>
      <c r="J18" s="2"/>
    </row>
    <row r="19" spans="1:11" ht="17.25" customHeight="1" x14ac:dyDescent="0.2">
      <c r="A19" t="s">
        <v>17</v>
      </c>
      <c r="B19" s="5" t="s">
        <v>35</v>
      </c>
      <c r="C19" s="1" t="s">
        <v>57</v>
      </c>
      <c r="D19" s="9">
        <f t="shared" ref="D19:E24" si="4">I19/0.4536/2000</f>
        <v>14.23831569664903</v>
      </c>
      <c r="E19" s="9">
        <f t="shared" si="4"/>
        <v>28.993606701940035</v>
      </c>
      <c r="F19" s="9"/>
      <c r="G19" s="1">
        <f>VALUE(RIGHT(B19,4))+VALUE(LEFT(B19,4))/12</f>
        <v>2018.75</v>
      </c>
      <c r="H19" s="3">
        <v>33.58</v>
      </c>
      <c r="I19" s="2">
        <v>12917</v>
      </c>
      <c r="J19" s="2">
        <v>26303</v>
      </c>
      <c r="K19">
        <f t="shared" ref="K19:K24" si="5">J19/H19/1000</f>
        <v>0.78329362715902318</v>
      </c>
    </row>
    <row r="20" spans="1:11" ht="17.25" customHeight="1" x14ac:dyDescent="0.2">
      <c r="A20" t="s">
        <v>36</v>
      </c>
      <c r="B20" s="5" t="s">
        <v>37</v>
      </c>
      <c r="C20" s="1" t="s">
        <v>57</v>
      </c>
      <c r="D20" s="9">
        <f t="shared" si="4"/>
        <v>14.036596119929452</v>
      </c>
      <c r="E20" s="9">
        <f t="shared" si="4"/>
        <v>29.211860670194003</v>
      </c>
      <c r="F20" s="9"/>
      <c r="G20" s="1">
        <f>VALUE(RIGHT(B20,4))+VALUE(LEFT(B20,4))/12</f>
        <v>2019.4166666666667</v>
      </c>
      <c r="H20" s="3">
        <v>33.24</v>
      </c>
      <c r="I20" s="2">
        <v>12734</v>
      </c>
      <c r="J20" s="2">
        <v>26501</v>
      </c>
      <c r="K20">
        <f t="shared" si="5"/>
        <v>0.7972623345367027</v>
      </c>
    </row>
    <row r="21" spans="1:11" ht="17.25" customHeight="1" x14ac:dyDescent="0.2">
      <c r="A21" t="s">
        <v>40</v>
      </c>
      <c r="B21" s="4" t="s">
        <v>43</v>
      </c>
      <c r="C21" s="1" t="s">
        <v>57</v>
      </c>
      <c r="D21" s="9">
        <f t="shared" si="4"/>
        <v>14.020061728395062</v>
      </c>
      <c r="E21" s="9">
        <f t="shared" si="4"/>
        <v>29.147927689594354</v>
      </c>
      <c r="F21" s="9"/>
      <c r="G21" s="1">
        <f>VALUE(RIGHT(B21,4))+VALUE(LEFT(B21,3))/12</f>
        <v>2019.8333333333333</v>
      </c>
      <c r="H21" s="3">
        <v>33.28</v>
      </c>
      <c r="I21" s="2">
        <v>12719</v>
      </c>
      <c r="J21" s="2">
        <v>26443</v>
      </c>
      <c r="K21">
        <f t="shared" si="5"/>
        <v>0.79456129807692311</v>
      </c>
    </row>
    <row r="22" spans="1:11" ht="17.25" customHeight="1" x14ac:dyDescent="0.2">
      <c r="A22" t="s">
        <v>41</v>
      </c>
      <c r="B22" s="5" t="s">
        <v>44</v>
      </c>
      <c r="C22" s="1" t="s">
        <v>57</v>
      </c>
      <c r="D22" s="9">
        <f t="shared" si="4"/>
        <v>15.048500881834215</v>
      </c>
      <c r="E22" s="9">
        <f t="shared" si="4"/>
        <v>26.17504409171076</v>
      </c>
      <c r="F22" s="9"/>
      <c r="G22" s="1">
        <f>VALUE(RIGHT(B22,4))+VALUE(LEFT(B22,2))/12</f>
        <v>2020.4166666666667</v>
      </c>
      <c r="H22" s="3">
        <v>33.28</v>
      </c>
      <c r="I22" s="2">
        <v>13652</v>
      </c>
      <c r="J22" s="2">
        <v>23746</v>
      </c>
      <c r="K22">
        <f t="shared" si="5"/>
        <v>0.71352163461538465</v>
      </c>
    </row>
    <row r="23" spans="1:11" ht="17.25" customHeight="1" x14ac:dyDescent="0.2">
      <c r="A23" t="s">
        <v>42</v>
      </c>
      <c r="B23" s="5" t="s">
        <v>45</v>
      </c>
      <c r="C23" s="1" t="s">
        <v>57</v>
      </c>
      <c r="D23" s="9">
        <f t="shared" si="4"/>
        <v>14.389329805996473</v>
      </c>
      <c r="E23" s="9">
        <f t="shared" si="4"/>
        <v>28.20326278659612</v>
      </c>
      <c r="F23" s="9"/>
      <c r="G23" s="1">
        <f>VALUE(RIGHT(B23,4))+VALUE(LEFT(B23,3))/12</f>
        <v>2020.8333333333333</v>
      </c>
      <c r="H23" s="3">
        <v>33.28</v>
      </c>
      <c r="I23" s="2">
        <v>13054</v>
      </c>
      <c r="J23" s="2">
        <v>25586</v>
      </c>
      <c r="K23">
        <f t="shared" si="5"/>
        <v>0.7688100961538461</v>
      </c>
    </row>
    <row r="24" spans="1:11" ht="17.25" customHeight="1" x14ac:dyDescent="0.2">
      <c r="A24" t="s">
        <v>47</v>
      </c>
      <c r="B24" s="5" t="s">
        <v>48</v>
      </c>
      <c r="C24" s="1" t="s">
        <v>58</v>
      </c>
      <c r="D24" s="9">
        <f t="shared" si="4"/>
        <v>10.930335097001764</v>
      </c>
      <c r="E24" s="9">
        <f t="shared" si="4"/>
        <v>27.620149911816579</v>
      </c>
      <c r="F24" s="9"/>
      <c r="G24" s="1">
        <f>VALUE(RIGHT(B24,4))+VALUE(LEFT(B24,2))/12</f>
        <v>2022.0833333333333</v>
      </c>
      <c r="H24" s="3">
        <v>33.28</v>
      </c>
      <c r="I24" s="2">
        <v>9916</v>
      </c>
      <c r="J24" s="2">
        <v>25057</v>
      </c>
      <c r="K24">
        <f t="shared" si="5"/>
        <v>0.75291466346153846</v>
      </c>
    </row>
    <row r="25" spans="1:11" ht="17.25" customHeight="1" x14ac:dyDescent="0.2">
      <c r="E25" s="9">
        <f>J25/0.4536/2000</f>
        <v>0.57870370370370372</v>
      </c>
      <c r="F25" s="9"/>
      <c r="J25" s="2">
        <v>525</v>
      </c>
    </row>
    <row r="26" spans="1:11" ht="17.25" customHeight="1" x14ac:dyDescent="0.2">
      <c r="E26">
        <f>525/25586</f>
        <v>2.0519033846634879E-2</v>
      </c>
    </row>
  </sheetData>
  <mergeCells count="5">
    <mergeCell ref="H17:J17"/>
    <mergeCell ref="D15:E15"/>
    <mergeCell ref="D16:E16"/>
    <mergeCell ref="D17:E17"/>
    <mergeCell ref="D18:E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24BF8-B5DB-49CE-B662-ADA5920B9654}">
  <dimension ref="A1:W60"/>
  <sheetViews>
    <sheetView workbookViewId="0"/>
  </sheetViews>
  <sheetFormatPr defaultRowHeight="15" x14ac:dyDescent="0.2"/>
  <sheetData>
    <row r="1" spans="1:23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5" spans="1:23" x14ac:dyDescent="0.2">
      <c r="B45" t="s">
        <v>0</v>
      </c>
      <c r="C45" s="1" t="s">
        <v>21</v>
      </c>
      <c r="D45" s="1" t="s">
        <v>39</v>
      </c>
      <c r="E45" s="1" t="s">
        <v>1</v>
      </c>
      <c r="F45" s="1" t="s">
        <v>2</v>
      </c>
      <c r="G45" s="1" t="s">
        <v>5</v>
      </c>
    </row>
    <row r="46" spans="1:23" x14ac:dyDescent="0.2">
      <c r="B46" t="s">
        <v>6</v>
      </c>
      <c r="C46" s="1" t="s">
        <v>23</v>
      </c>
      <c r="D46" s="1">
        <f>VALUE(RIGHT('Chart 1'!C46,4))+VALUE(LEFT('Chart 1'!C46,4))/12</f>
        <v>2008.1666666666667</v>
      </c>
      <c r="E46" s="3">
        <v>39840</v>
      </c>
      <c r="F46" s="2">
        <v>14622</v>
      </c>
      <c r="G46" s="2">
        <v>17020</v>
      </c>
    </row>
    <row r="47" spans="1:23" x14ac:dyDescent="0.2">
      <c r="B47" t="s">
        <v>7</v>
      </c>
      <c r="C47" s="1" t="s">
        <v>24</v>
      </c>
      <c r="D47" s="1">
        <f>VALUE(RIGHT('Chart 1'!C47,4))+VALUE(LEFT('Chart 1'!C47,4))/12</f>
        <v>2009.75</v>
      </c>
      <c r="E47" s="3">
        <v>38010</v>
      </c>
      <c r="F47" s="2">
        <v>14914</v>
      </c>
      <c r="G47" s="2">
        <v>18518</v>
      </c>
    </row>
    <row r="48" spans="1:23" x14ac:dyDescent="0.2">
      <c r="B48" t="s">
        <v>8</v>
      </c>
      <c r="C48" s="1" t="s">
        <v>25</v>
      </c>
      <c r="D48" s="1">
        <f>VALUE(RIGHT('Chart 1'!C48,4))+VALUE(LEFT('Chart 1'!C48,4))/12</f>
        <v>2010.5833333333333</v>
      </c>
      <c r="E48" s="3">
        <v>39030</v>
      </c>
      <c r="F48" s="2">
        <v>15479</v>
      </c>
      <c r="G48" s="2">
        <v>19087</v>
      </c>
    </row>
    <row r="49" spans="2:7" x14ac:dyDescent="0.2">
      <c r="B49" t="s">
        <v>9</v>
      </c>
      <c r="C49" s="1" t="s">
        <v>26</v>
      </c>
      <c r="D49" s="1">
        <f>VALUE(RIGHT('Chart 1'!C49,4))+VALUE(LEFT('Chart 1'!C49,4))/12</f>
        <v>2011.25</v>
      </c>
      <c r="E49" s="3">
        <v>35850</v>
      </c>
      <c r="F49" s="2">
        <v>14060</v>
      </c>
      <c r="G49" s="2">
        <v>17582</v>
      </c>
    </row>
    <row r="50" spans="2:7" x14ac:dyDescent="0.2">
      <c r="B50" t="s">
        <v>18</v>
      </c>
      <c r="C50" s="1" t="s">
        <v>27</v>
      </c>
      <c r="D50" s="1">
        <f>VALUE(RIGHT('Chart 1'!C50,4))+VALUE(LEFT('Chart 1'!C50,4))/12</f>
        <v>2011.5</v>
      </c>
      <c r="E50" s="3">
        <v>35950</v>
      </c>
      <c r="F50" s="2">
        <v>9590</v>
      </c>
      <c r="G50" s="2">
        <v>21414</v>
      </c>
    </row>
    <row r="51" spans="2:7" x14ac:dyDescent="0.2">
      <c r="B51" t="s">
        <v>19</v>
      </c>
      <c r="C51" s="1" t="s">
        <v>28</v>
      </c>
      <c r="D51" s="1">
        <f>VALUE(RIGHT('Chart 1'!C51,4))+VALUE(LEFT('Chart 1'!C51,4))/12</f>
        <v>2011.75</v>
      </c>
      <c r="E51" s="3">
        <v>36200</v>
      </c>
      <c r="F51" s="2">
        <v>9590</v>
      </c>
      <c r="G51" s="2">
        <v>21414</v>
      </c>
    </row>
    <row r="52" spans="2:7" x14ac:dyDescent="0.2">
      <c r="B52" t="s">
        <v>10</v>
      </c>
      <c r="C52" s="1" t="s">
        <v>29</v>
      </c>
      <c r="D52" s="1">
        <f>VALUE(RIGHT('Chart 1'!C52,4))+VALUE(LEFT('Chart 1'!C52,4))/12</f>
        <v>2012.3333333333333</v>
      </c>
      <c r="E52" s="3">
        <v>36240</v>
      </c>
      <c r="F52" s="2">
        <v>10028</v>
      </c>
      <c r="G52" s="2">
        <v>24269</v>
      </c>
    </row>
    <row r="53" spans="2:7" x14ac:dyDescent="0.2">
      <c r="B53" t="s">
        <v>20</v>
      </c>
      <c r="C53" s="1" t="s">
        <v>22</v>
      </c>
      <c r="D53" s="1">
        <f>VALUE(RIGHT('Chart 1'!C53,4))+VALUE(LEFT('Chart 1'!C53,3))/12</f>
        <v>2012.8333333333333</v>
      </c>
      <c r="E53" s="3">
        <v>36210</v>
      </c>
      <c r="F53" s="2">
        <v>9879</v>
      </c>
      <c r="G53" s="2">
        <v>23750</v>
      </c>
    </row>
    <row r="54" spans="2:7" x14ac:dyDescent="0.2">
      <c r="B54" t="s">
        <v>11</v>
      </c>
      <c r="C54" s="1" t="s">
        <v>30</v>
      </c>
      <c r="D54" s="1">
        <f>VALUE(RIGHT('Chart 1'!C54,4))+VALUE(LEFT('Chart 1'!C54,4))/12</f>
        <v>2013.4166666666667</v>
      </c>
      <c r="E54" s="3">
        <v>36230</v>
      </c>
      <c r="F54" s="2">
        <v>11056</v>
      </c>
      <c r="G54" s="2">
        <v>22887</v>
      </c>
    </row>
    <row r="55" spans="2:7" x14ac:dyDescent="0.2">
      <c r="B55" t="s">
        <v>17</v>
      </c>
      <c r="C55" s="1" t="s">
        <v>35</v>
      </c>
      <c r="D55" s="1">
        <f>VALUE(RIGHT('Chart 1'!C55,4))+VALUE(LEFT('Chart 1'!C55,4))/12</f>
        <v>2018.75</v>
      </c>
      <c r="E55" s="3">
        <v>33580</v>
      </c>
      <c r="F55" s="2">
        <v>12917</v>
      </c>
      <c r="G55" s="2">
        <v>26303</v>
      </c>
    </row>
    <row r="56" spans="2:7" x14ac:dyDescent="0.2">
      <c r="B56" t="s">
        <v>36</v>
      </c>
      <c r="C56" s="1" t="s">
        <v>37</v>
      </c>
      <c r="D56" s="1">
        <f>VALUE(RIGHT('Chart 1'!C56,4))+VALUE(LEFT('Chart 1'!C56,4))/12</f>
        <v>2019.4166666666667</v>
      </c>
      <c r="E56" s="3">
        <v>33240</v>
      </c>
      <c r="F56" s="2">
        <v>12734</v>
      </c>
      <c r="G56" s="2">
        <v>26501</v>
      </c>
    </row>
    <row r="57" spans="2:7" x14ac:dyDescent="0.2">
      <c r="B57" t="s">
        <v>40</v>
      </c>
      <c r="C57" s="1" t="s">
        <v>43</v>
      </c>
      <c r="D57" s="1">
        <f>VALUE(RIGHT('Chart 1'!C57,4))+VALUE(LEFT('Chart 1'!C57,3))/12</f>
        <v>2019.8333333333333</v>
      </c>
      <c r="E57" s="3">
        <v>33280</v>
      </c>
      <c r="F57" s="2">
        <v>12719</v>
      </c>
      <c r="G57" s="2">
        <v>26443</v>
      </c>
    </row>
    <row r="58" spans="2:7" x14ac:dyDescent="0.2">
      <c r="B58" t="s">
        <v>41</v>
      </c>
      <c r="C58" s="1" t="s">
        <v>44</v>
      </c>
      <c r="D58" s="1">
        <f>VALUE(RIGHT('Chart 1'!C58,4))+VALUE(LEFT('Chart 1'!C58,2))/12</f>
        <v>2020.4166666666667</v>
      </c>
      <c r="E58" s="3">
        <v>33280</v>
      </c>
      <c r="F58" s="2">
        <v>13652</v>
      </c>
      <c r="G58" s="2">
        <v>23746</v>
      </c>
    </row>
    <row r="59" spans="2:7" x14ac:dyDescent="0.2">
      <c r="B59" t="s">
        <v>42</v>
      </c>
      <c r="C59" s="1" t="s">
        <v>45</v>
      </c>
      <c r="D59" s="1">
        <f>VALUE(RIGHT('Chart 1'!C59,4))+VALUE(LEFT('Chart 1'!C59,3))/12</f>
        <v>2020.8333333333333</v>
      </c>
      <c r="E59" s="3">
        <v>33280</v>
      </c>
      <c r="F59" s="2">
        <v>13054</v>
      </c>
      <c r="G59" s="2">
        <v>25586</v>
      </c>
    </row>
    <row r="60" spans="2:7" x14ac:dyDescent="0.2">
      <c r="B60" t="s">
        <v>50</v>
      </c>
      <c r="C60" s="5" t="s">
        <v>48</v>
      </c>
      <c r="D60" s="1">
        <f>VALUE(RIGHT('Chart 1'!C60,4))+VALUE(LEFT('Chart 1'!C60,2))/12</f>
        <v>2022.0833333333333</v>
      </c>
      <c r="E60" s="3">
        <v>33280</v>
      </c>
      <c r="F60" s="2">
        <v>9916</v>
      </c>
      <c r="G60" s="2">
        <v>25057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717E-DDD4-43C7-8E4D-F9CB73F766E3}">
  <dimension ref="A1:W60"/>
  <sheetViews>
    <sheetView workbookViewId="0"/>
  </sheetViews>
  <sheetFormatPr defaultColWidth="10.77734375" defaultRowHeight="15" x14ac:dyDescent="0.2"/>
  <cols>
    <col min="5" max="5" width="15.77734375" customWidth="1"/>
  </cols>
  <sheetData>
    <row r="1" spans="1:23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5" spans="1:23" x14ac:dyDescent="0.2">
      <c r="B45" t="s">
        <v>0</v>
      </c>
      <c r="C45" s="1" t="s">
        <v>21</v>
      </c>
      <c r="D45" s="1" t="s">
        <v>39</v>
      </c>
      <c r="E45" s="1" t="s">
        <v>49</v>
      </c>
    </row>
    <row r="46" spans="1:23" x14ac:dyDescent="0.2">
      <c r="B46" t="s">
        <v>6</v>
      </c>
      <c r="C46" s="1" t="s">
        <v>23</v>
      </c>
      <c r="D46">
        <f>'Chart 1'!D46</f>
        <v>2008.1666666666667</v>
      </c>
      <c r="E46">
        <f>'Chart 1'!G46/'Chart 1'!E46</f>
        <v>0.42720883534136544</v>
      </c>
    </row>
    <row r="47" spans="1:23" x14ac:dyDescent="0.2">
      <c r="B47" t="s">
        <v>7</v>
      </c>
      <c r="C47" s="1" t="s">
        <v>24</v>
      </c>
      <c r="D47">
        <f>'Chart 1'!D47</f>
        <v>2009.75</v>
      </c>
      <c r="E47">
        <f>'Chart 1'!G47/'Chart 1'!E47</f>
        <v>0.48718758221520653</v>
      </c>
    </row>
    <row r="48" spans="1:23" x14ac:dyDescent="0.2">
      <c r="B48" t="s">
        <v>8</v>
      </c>
      <c r="C48" s="1" t="s">
        <v>25</v>
      </c>
      <c r="D48">
        <f>'Chart 1'!D48</f>
        <v>2010.5833333333333</v>
      </c>
      <c r="E48">
        <f>'Chart 1'!G48/'Chart 1'!E48</f>
        <v>0.48903407635152446</v>
      </c>
    </row>
    <row r="49" spans="2:5" x14ac:dyDescent="0.2">
      <c r="B49" t="s">
        <v>9</v>
      </c>
      <c r="C49" s="1" t="s">
        <v>26</v>
      </c>
      <c r="D49">
        <f>'Chart 1'!D49</f>
        <v>2011.25</v>
      </c>
      <c r="E49">
        <f>'Chart 1'!G49/'Chart 1'!E49</f>
        <v>0.49043235704323568</v>
      </c>
    </row>
    <row r="50" spans="2:5" x14ac:dyDescent="0.2">
      <c r="B50" t="s">
        <v>18</v>
      </c>
      <c r="C50" s="1" t="s">
        <v>27</v>
      </c>
      <c r="D50">
        <f>'Chart 1'!D50</f>
        <v>2011.5</v>
      </c>
      <c r="E50">
        <f>'Chart 1'!G50/'Chart 1'!E50</f>
        <v>0.59566063977746875</v>
      </c>
    </row>
    <row r="51" spans="2:5" x14ac:dyDescent="0.2">
      <c r="B51" t="s">
        <v>19</v>
      </c>
      <c r="C51" s="1" t="s">
        <v>28</v>
      </c>
      <c r="D51">
        <f>'Chart 1'!D51</f>
        <v>2011.75</v>
      </c>
      <c r="E51">
        <f>'Chart 1'!G51/'Chart 1'!E51</f>
        <v>0.59154696132596685</v>
      </c>
    </row>
    <row r="52" spans="2:5" x14ac:dyDescent="0.2">
      <c r="B52" t="s">
        <v>10</v>
      </c>
      <c r="C52" s="1" t="s">
        <v>29</v>
      </c>
      <c r="D52">
        <f>'Chart 1'!D52</f>
        <v>2012.3333333333333</v>
      </c>
      <c r="E52">
        <f>'Chart 1'!G52/'Chart 1'!E52</f>
        <v>0.6696743929359823</v>
      </c>
    </row>
    <row r="53" spans="2:5" x14ac:dyDescent="0.2">
      <c r="B53" t="s">
        <v>20</v>
      </c>
      <c r="C53" s="1" t="s">
        <v>22</v>
      </c>
      <c r="D53">
        <f>'Chart 1'!D53</f>
        <v>2012.8333333333333</v>
      </c>
      <c r="E53">
        <f>'Chart 1'!G53/'Chart 1'!E53</f>
        <v>0.65589616128141393</v>
      </c>
    </row>
    <row r="54" spans="2:5" x14ac:dyDescent="0.2">
      <c r="B54" t="s">
        <v>11</v>
      </c>
      <c r="C54" s="1" t="s">
        <v>30</v>
      </c>
      <c r="D54">
        <f>'Chart 1'!D54</f>
        <v>2013.4166666666667</v>
      </c>
      <c r="E54">
        <f>'Chart 1'!G54/'Chart 1'!E54</f>
        <v>0.63171404913055473</v>
      </c>
    </row>
    <row r="55" spans="2:5" x14ac:dyDescent="0.2">
      <c r="B55" t="s">
        <v>17</v>
      </c>
      <c r="C55" s="1" t="s">
        <v>35</v>
      </c>
      <c r="D55">
        <f>'Chart 1'!D55</f>
        <v>2018.75</v>
      </c>
      <c r="E55">
        <f>'Chart 1'!G55/'Chart 1'!E55</f>
        <v>0.78329362715902318</v>
      </c>
    </row>
    <row r="56" spans="2:5" x14ac:dyDescent="0.2">
      <c r="B56" t="s">
        <v>36</v>
      </c>
      <c r="C56" s="1" t="s">
        <v>37</v>
      </c>
      <c r="D56">
        <f>'Chart 1'!D56</f>
        <v>2019.4166666666667</v>
      </c>
      <c r="E56">
        <f>'Chart 1'!G56/'Chart 1'!E56</f>
        <v>0.79726233453670281</v>
      </c>
    </row>
    <row r="57" spans="2:5" x14ac:dyDescent="0.2">
      <c r="B57" t="s">
        <v>40</v>
      </c>
      <c r="C57" s="1" t="s">
        <v>43</v>
      </c>
      <c r="D57">
        <f>'Chart 1'!D57</f>
        <v>2019.8333333333333</v>
      </c>
      <c r="E57">
        <f>'Chart 1'!G57/'Chart 1'!E57</f>
        <v>0.79456129807692311</v>
      </c>
    </row>
    <row r="58" spans="2:5" x14ac:dyDescent="0.2">
      <c r="B58" t="s">
        <v>41</v>
      </c>
      <c r="C58" s="1" t="s">
        <v>44</v>
      </c>
      <c r="D58">
        <f>'Chart 1'!D58</f>
        <v>2020.4166666666667</v>
      </c>
      <c r="E58">
        <f>'Chart 1'!G58/'Chart 1'!E58</f>
        <v>0.71352163461538465</v>
      </c>
    </row>
    <row r="59" spans="2:5" x14ac:dyDescent="0.2">
      <c r="B59" t="s">
        <v>42</v>
      </c>
      <c r="C59" s="1" t="s">
        <v>45</v>
      </c>
      <c r="D59">
        <f>'Chart 1'!D59</f>
        <v>2020.8333333333333</v>
      </c>
      <c r="E59">
        <f>'Chart 1'!G59/'Chart 1'!E59</f>
        <v>0.7688100961538461</v>
      </c>
    </row>
    <row r="60" spans="2:5" x14ac:dyDescent="0.2">
      <c r="B60" t="s">
        <v>50</v>
      </c>
      <c r="C60" s="5" t="s">
        <v>48</v>
      </c>
      <c r="D60">
        <f>'Chart 1'!D60</f>
        <v>2022.0833333333333</v>
      </c>
      <c r="E60">
        <f>'Chart 1'!G60/'Chart 1'!E60</f>
        <v>0.75291466346153846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B2369FDA23BA40B774AD1AFE453095" ma:contentTypeVersion="5" ma:contentTypeDescription="Create a new document." ma:contentTypeScope="" ma:versionID="c3c660b3e0aba76260f076ea7c57b626">
  <xsd:schema xmlns:xsd="http://www.w3.org/2001/XMLSchema" xmlns:xs="http://www.w3.org/2001/XMLSchema" xmlns:p="http://schemas.microsoft.com/office/2006/metadata/properties" xmlns:ns1="http://schemas.microsoft.com/sharepoint/v3" xmlns:ns2="e309d946-9fb8-48a3-ae4d-f86d881f4691" targetNamespace="http://schemas.microsoft.com/office/2006/metadata/properties" ma:root="true" ma:fieldsID="20261d9b2e4425bd7bf603dabfb47abf" ns1:_="" ns2:_="">
    <xsd:import namespace="http://schemas.microsoft.com/sharepoint/v3"/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170D10-C7A0-478A-BC60-660567D2D5D6}"/>
</file>

<file path=customXml/itemProps2.xml><?xml version="1.0" encoding="utf-8"?>
<ds:datastoreItem xmlns:ds="http://schemas.openxmlformats.org/officeDocument/2006/customXml" ds:itemID="{38608419-01D4-4935-B7CF-73B2A953CE82}"/>
</file>

<file path=customXml/itemProps3.xml><?xml version="1.0" encoding="utf-8"?>
<ds:datastoreItem xmlns:ds="http://schemas.openxmlformats.org/officeDocument/2006/customXml" ds:itemID="{918DA842-68EE-4829-9C7C-A5AFC7C29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Chart 1</vt:lpstr>
      <vt:lpstr>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J - 2008 VMT, VOCs and NOx Conformity Trends</dc:title>
  <dc:creator>Randy  Simon</dc:creator>
  <cp:lastModifiedBy>lauren.hedge</cp:lastModifiedBy>
  <cp:lastPrinted>2022-01-12T19:52:20Z</cp:lastPrinted>
  <dcterms:created xsi:type="dcterms:W3CDTF">2019-08-02T14:00:44Z</dcterms:created>
  <dcterms:modified xsi:type="dcterms:W3CDTF">2022-09-02T18:21:26Z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0x010100D0B2369FDA23BA40B774AD1AFE453095</vt:lpwstr>
  </property>
</Properties>
</file>